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o\Work Folders\Desktop\240625 Nøkkeltall 2023\"/>
    </mc:Choice>
  </mc:AlternateContent>
  <xr:revisionPtr revIDLastSave="0" documentId="13_ncr:1_{FA37DB0B-FC18-48D5-BF4A-A99848A8E530}" xr6:coauthVersionLast="47" xr6:coauthVersionMax="47" xr10:uidLastSave="{00000000-0000-0000-0000-000000000000}"/>
  <bookViews>
    <workbookView xWindow="1152" yWindow="0" windowWidth="20436" windowHeight="12408" tabRatio="923" activeTab="12" xr2:uid="{00000000-000D-0000-FFFF-FFFF00000000}"/>
  </bookViews>
  <sheets>
    <sheet name="1. Instituttoversikt" sheetId="17" r:id="rId1"/>
    <sheet name="Tabelloversikt" sheetId="20" r:id="rId2"/>
    <sheet name="Tabell 1" sheetId="49" r:id="rId3"/>
    <sheet name="Tabell 2" sheetId="64" r:id="rId4"/>
    <sheet name="Tabell 2b" sheetId="81" r:id="rId5"/>
    <sheet name="Tabell 3" sheetId="38" r:id="rId6"/>
    <sheet name="Tabell 4" sheetId="73" r:id="rId7"/>
    <sheet name="Tabell 5" sheetId="56" r:id="rId8"/>
    <sheet name="Tabell 6" sheetId="57" r:id="rId9"/>
    <sheet name="Tabell 7" sheetId="4" r:id="rId10"/>
    <sheet name="Tabell 8" sheetId="74" r:id="rId11"/>
    <sheet name="Tabell 9" sheetId="22" r:id="rId12"/>
    <sheet name="Tabell 10" sheetId="6" r:id="rId13"/>
    <sheet name="Tabell 11" sheetId="10" r:id="rId14"/>
    <sheet name="Tabell 12" sheetId="43" r:id="rId15"/>
    <sheet name="Tabell 13" sheetId="44" r:id="rId16"/>
    <sheet name="Tabell 14" sheetId="72" r:id="rId17"/>
    <sheet name="Tabell 15" sheetId="52" r:id="rId18"/>
    <sheet name="Tabell 16" sheetId="8" r:id="rId19"/>
    <sheet name="Tabell 17" sheetId="14" r:id="rId20"/>
    <sheet name="Tabell 18" sheetId="15" r:id="rId21"/>
    <sheet name="Tabell 19" sheetId="16" r:id="rId22"/>
    <sheet name="Tabell 20" sheetId="45" r:id="rId23"/>
    <sheet name="Egenkapital og gjeld" sheetId="82" r:id="rId24"/>
  </sheets>
  <definedNames>
    <definedName name="_xlnm._FilterDatabase" localSheetId="0" hidden="1">'1. Instituttoversikt'!$A$1:$N$64</definedName>
    <definedName name="Ansatte_med_dr.grad_1997" localSheetId="12">'Tabell 10'!#REF!</definedName>
    <definedName name="EksterneData1" localSheetId="12">'Tabell 10'!#REF!</definedName>
    <definedName name="EksterneData1" localSheetId="13">'Tabell 11'!#REF!</definedName>
    <definedName name="EksterneData1" localSheetId="14">'Tabell 12'!#REF!</definedName>
    <definedName name="EksterneData1" localSheetId="18">'Tabell 16'!#REF!</definedName>
    <definedName name="EksterneData1" localSheetId="19">'Tabell 17'!#REF!</definedName>
    <definedName name="EksterneData10" localSheetId="13">'Tabell 11'!#REF!</definedName>
    <definedName name="EksterneData10" localSheetId="18">'Tabell 16'!#REF!</definedName>
    <definedName name="EksterneData10" localSheetId="20">'Tabell 18'!#REF!</definedName>
    <definedName name="EksterneData11" localSheetId="13">'Tabell 11'!#REF!</definedName>
    <definedName name="EksterneData11" localSheetId="18">'Tabell 16'!#REF!</definedName>
    <definedName name="EksterneData11" localSheetId="20">'Tabell 18'!#REF!</definedName>
    <definedName name="EksterneData12" localSheetId="13">'Tabell 11'!#REF!</definedName>
    <definedName name="EksterneData12" localSheetId="18">'Tabell 16'!#REF!</definedName>
    <definedName name="EksterneData12" localSheetId="20">'Tabell 18'!#REF!</definedName>
    <definedName name="EksterneData13" localSheetId="13">'Tabell 11'!#REF!</definedName>
    <definedName name="EksterneData13" localSheetId="18">'Tabell 16'!#REF!</definedName>
    <definedName name="EksterneData13" localSheetId="20">'Tabell 18'!#REF!</definedName>
    <definedName name="EksterneData13_10" localSheetId="0">'1. Instituttoversikt'!$A$61:$D$62</definedName>
    <definedName name="EksterneData13_11" localSheetId="0">'1. Instituttoversikt'!$A$52:$D$58</definedName>
    <definedName name="EksterneData13_12" localSheetId="0">'1. Instituttoversikt'!#REF!</definedName>
    <definedName name="EksterneData13_13" localSheetId="0">'1. Instituttoversikt'!$A$36:$D$36</definedName>
    <definedName name="EksterneData13_14" localSheetId="0">'1. Instituttoversikt'!#REF!</definedName>
    <definedName name="EksterneData13_15" localSheetId="0">'1. Instituttoversikt'!#REF!</definedName>
    <definedName name="EksterneData13_2" localSheetId="0">'1. Instituttoversikt'!$A$17:$D$48</definedName>
    <definedName name="EksterneData13_3" localSheetId="0">'1. Instituttoversikt'!#REF!</definedName>
    <definedName name="EksterneData13_4" localSheetId="0">'1. Instituttoversikt'!$A$28:$D$46</definedName>
    <definedName name="EksterneData13_5" localSheetId="0">'1. Instituttoversikt'!#REF!</definedName>
    <definedName name="EksterneData13_6" localSheetId="0">'1. Instituttoversikt'!#REF!</definedName>
    <definedName name="EksterneData13_7" localSheetId="0">'1. Instituttoversikt'!#REF!</definedName>
    <definedName name="EksterneData13_8" localSheetId="0">'1. Instituttoversikt'!$A$9:$D$10</definedName>
    <definedName name="EksterneData13_9" localSheetId="0">'1. Instituttoversikt'!$A$12:$D$12</definedName>
    <definedName name="EksterneData14" localSheetId="13">'Tabell 11'!#REF!</definedName>
    <definedName name="EksterneData14" localSheetId="18">'Tabell 16'!#REF!</definedName>
    <definedName name="EksterneData14" localSheetId="20">'Tabell 18'!#REF!</definedName>
    <definedName name="EksterneData15" localSheetId="13">'Tabell 11'!#REF!</definedName>
    <definedName name="EksterneData15" localSheetId="18">'Tabell 16'!#REF!</definedName>
    <definedName name="EksterneData15" localSheetId="20">'Tabell 18'!#REF!</definedName>
    <definedName name="EksterneData16" localSheetId="13">'Tabell 11'!#REF!</definedName>
    <definedName name="EksterneData16" localSheetId="18">'Tabell 16'!#REF!</definedName>
    <definedName name="EksterneData16" localSheetId="20">'Tabell 18'!#REF!</definedName>
    <definedName name="EksterneData17" localSheetId="13">'Tabell 11'!#REF!</definedName>
    <definedName name="EksterneData17" localSheetId="18">'Tabell 16'!#REF!</definedName>
    <definedName name="EksterneData17" localSheetId="20">'Tabell 18'!$H$1:$I$28</definedName>
    <definedName name="EksterneData17" localSheetId="9">'Tabell 7'!$A$1:$B$11</definedName>
    <definedName name="EksterneData18" localSheetId="13">'Tabell 11'!#REF!</definedName>
    <definedName name="EksterneData18" localSheetId="18">'Tabell 16'!#REF!</definedName>
    <definedName name="EksterneData18" localSheetId="20">'Tabell 18'!#REF!</definedName>
    <definedName name="EksterneData18" localSheetId="9">'Tabell 7'!$C$1:$C$11</definedName>
    <definedName name="EksterneData19" localSheetId="13">'Tabell 11'!#REF!</definedName>
    <definedName name="EksterneData19" localSheetId="18">'Tabell 16'!#REF!</definedName>
    <definedName name="EksterneData19" localSheetId="20">'Tabell 18'!#REF!</definedName>
    <definedName name="EksterneData2" localSheetId="12">'Tabell 10'!#REF!</definedName>
    <definedName name="EksterneData2" localSheetId="13">'Tabell 11'!#REF!</definedName>
    <definedName name="EksterneData2" localSheetId="14">'Tabell 12'!#REF!</definedName>
    <definedName name="EksterneData2" localSheetId="18">'Tabell 16'!#REF!</definedName>
    <definedName name="EksterneData2" localSheetId="19">'Tabell 17'!#REF!</definedName>
    <definedName name="EksterneData20" localSheetId="13">'Tabell 11'!#REF!</definedName>
    <definedName name="EksterneData20" localSheetId="20">'Tabell 18'!#REF!</definedName>
    <definedName name="EksterneData21" localSheetId="13">'Tabell 11'!#REF!</definedName>
    <definedName name="EksterneData21" localSheetId="20">'Tabell 18'!#REF!</definedName>
    <definedName name="EksterneData22" localSheetId="13">'Tabell 11'!#REF!</definedName>
    <definedName name="EksterneData22" localSheetId="18">'Tabell 16'!#REF!</definedName>
    <definedName name="EksterneData23" localSheetId="13">'Tabell 11'!#REF!</definedName>
    <definedName name="EksterneData236" localSheetId="12">'Tabell 10'!#REF!</definedName>
    <definedName name="EksterneData237" localSheetId="12">'Tabell 10'!#REF!</definedName>
    <definedName name="EksterneData238" localSheetId="12">'Tabell 10'!#REF!</definedName>
    <definedName name="EksterneData239" localSheetId="12">'Tabell 10'!#REF!</definedName>
    <definedName name="EksterneData24" localSheetId="13">'Tabell 11'!#REF!</definedName>
    <definedName name="EksterneData24" localSheetId="18">'Tabell 16'!#REF!</definedName>
    <definedName name="EksterneData240" localSheetId="12">'Tabell 10'!#REF!</definedName>
    <definedName name="EksterneData241" localSheetId="12">'Tabell 10'!#REF!</definedName>
    <definedName name="EksterneData242" localSheetId="12">'Tabell 10'!#REF!</definedName>
    <definedName name="EksterneData243" localSheetId="12">'Tabell 10'!#REF!</definedName>
    <definedName name="EksterneData25" localSheetId="13">'Tabell 11'!#REF!</definedName>
    <definedName name="EksterneData25" localSheetId="18">'Tabell 16'!#REF!</definedName>
    <definedName name="EksterneData26" localSheetId="13">'Tabell 11'!#REF!</definedName>
    <definedName name="EksterneData26" localSheetId="18">'Tabell 16'!#REF!</definedName>
    <definedName name="EksterneData3" localSheetId="12">'Tabell 10'!#REF!</definedName>
    <definedName name="EksterneData3" localSheetId="13">'Tabell 11'!#REF!</definedName>
    <definedName name="EksterneData3" localSheetId="14">'Tabell 12'!#REF!</definedName>
    <definedName name="EksterneData3" localSheetId="18">'Tabell 16'!#REF!</definedName>
    <definedName name="EksterneData3" localSheetId="19">'Tabell 17'!#REF!</definedName>
    <definedName name="EksterneData3_1" localSheetId="14">'Tabell 12'!$A$3:$C$8</definedName>
    <definedName name="EksterneData3_1" localSheetId="19">'Tabell 17'!$A$3:$C$8</definedName>
    <definedName name="EksterneData3_2" localSheetId="14">'Tabell 12'!$A$13:$C$18</definedName>
    <definedName name="EksterneData326" localSheetId="13">'Tabell 11'!#REF!</definedName>
    <definedName name="EksterneData326" localSheetId="18">'Tabell 16'!#REF!</definedName>
    <definedName name="EksterneData327" localSheetId="13">'Tabell 11'!#REF!</definedName>
    <definedName name="EksterneData327" localSheetId="18">'Tabell 16'!#REF!</definedName>
    <definedName name="EksterneData328" localSheetId="13">'Tabell 11'!#REF!</definedName>
    <definedName name="EksterneData328" localSheetId="18">'Tabell 16'!#REF!</definedName>
    <definedName name="EksterneData329" localSheetId="13">'Tabell 11'!#REF!</definedName>
    <definedName name="EksterneData329" localSheetId="18">'Tabell 16'!#REF!</definedName>
    <definedName name="EksterneData330" localSheetId="13">'Tabell 11'!#REF!</definedName>
    <definedName name="EksterneData330" localSheetId="18">'Tabell 16'!#REF!</definedName>
    <definedName name="EksterneData331" localSheetId="13">'Tabell 11'!#REF!</definedName>
    <definedName name="EksterneData331" localSheetId="18">'Tabell 16'!#REF!</definedName>
    <definedName name="EksterneData332" localSheetId="13">'Tabell 11'!#REF!</definedName>
    <definedName name="EksterneData332" localSheetId="18">'Tabell 16'!#REF!</definedName>
    <definedName name="EksterneData333" localSheetId="13">'Tabell 11'!#REF!</definedName>
    <definedName name="EksterneData333" localSheetId="18">'Tabell 16'!#REF!</definedName>
    <definedName name="EksterneData334" localSheetId="13">'Tabell 11'!#REF!</definedName>
    <definedName name="EksterneData334" localSheetId="18">'Tabell 16'!#REF!</definedName>
    <definedName name="EksterneData335" localSheetId="13">'Tabell 11'!#REF!</definedName>
    <definedName name="EksterneData335" localSheetId="18">'Tabell 16'!#REF!</definedName>
    <definedName name="EksterneData336" localSheetId="13">'Tabell 11'!#REF!</definedName>
    <definedName name="EksterneData336" localSheetId="18">'Tabell 16'!#REF!</definedName>
    <definedName name="EksterneData337" localSheetId="13">'Tabell 11'!#REF!</definedName>
    <definedName name="EksterneData337" localSheetId="18">'Tabell 16'!#REF!</definedName>
    <definedName name="EksterneData338" localSheetId="13">'Tabell 11'!#REF!</definedName>
    <definedName name="EksterneData338" localSheetId="18">'Tabell 16'!#REF!</definedName>
    <definedName name="EksterneData339" localSheetId="13">'Tabell 11'!#REF!</definedName>
    <definedName name="EksterneData339" localSheetId="18">'Tabell 16'!#REF!</definedName>
    <definedName name="EksterneData340" localSheetId="13">'Tabell 11'!#REF!</definedName>
    <definedName name="EksterneData340" localSheetId="18">'Tabell 16'!#REF!</definedName>
    <definedName name="EksterneData341" localSheetId="13">'Tabell 11'!#REF!</definedName>
    <definedName name="EksterneData341" localSheetId="18">'Tabell 16'!#REF!</definedName>
    <definedName name="EksterneData342" localSheetId="13">'Tabell 11'!#REF!</definedName>
    <definedName name="EksterneData342" localSheetId="18">'Tabell 16'!#REF!</definedName>
    <definedName name="EksterneData343" localSheetId="13">'Tabell 11'!#REF!</definedName>
    <definedName name="EksterneData343" localSheetId="18">'Tabell 16'!#REF!</definedName>
    <definedName name="EksterneData344" localSheetId="13">'Tabell 11'!#REF!</definedName>
    <definedName name="EksterneData344" localSheetId="18">'Tabell 16'!#REF!</definedName>
    <definedName name="EksterneData345" localSheetId="13">'Tabell 11'!#REF!</definedName>
    <definedName name="EksterneData345" localSheetId="18">'Tabell 16'!#REF!</definedName>
    <definedName name="EksterneData346" localSheetId="13">'Tabell 11'!#REF!</definedName>
    <definedName name="EksterneData346" localSheetId="18">'Tabell 16'!#REF!</definedName>
    <definedName name="EksterneData347" localSheetId="13">'Tabell 11'!#REF!</definedName>
    <definedName name="EksterneData347" localSheetId="18">'Tabell 16'!#REF!</definedName>
    <definedName name="EksterneData348" localSheetId="13">'Tabell 11'!#REF!</definedName>
    <definedName name="EksterneData348" localSheetId="18">'Tabell 16'!#REF!</definedName>
    <definedName name="EksterneData349" localSheetId="13">'Tabell 11'!#REF!</definedName>
    <definedName name="EksterneData349" localSheetId="18">'Tabell 16'!#REF!</definedName>
    <definedName name="EksterneData35" localSheetId="18">'Tabell 16'!#REF!</definedName>
    <definedName name="EksterneData350" localSheetId="13">'Tabell 11'!#REF!</definedName>
    <definedName name="EksterneData350" localSheetId="18">'Tabell 16'!#REF!</definedName>
    <definedName name="EksterneData351" localSheetId="13">'Tabell 11'!#REF!</definedName>
    <definedName name="EksterneData351" localSheetId="18">'Tabell 16'!#REF!</definedName>
    <definedName name="EksterneData36" localSheetId="18">'Tabell 16'!#REF!</definedName>
    <definedName name="EksterneData36_1" localSheetId="18">'Tabell 16'!#REF!</definedName>
    <definedName name="EksterneData37" localSheetId="18">'Tabell 16'!#REF!</definedName>
    <definedName name="EksterneData38" localSheetId="18">'Tabell 16'!#REF!</definedName>
    <definedName name="EksterneData381" localSheetId="14">'Tabell 12'!#REF!</definedName>
    <definedName name="EksterneData381" localSheetId="19">'Tabell 17'!#REF!</definedName>
    <definedName name="EksterneData382" localSheetId="14">'Tabell 12'!#REF!</definedName>
    <definedName name="EksterneData382" localSheetId="19">'Tabell 17'!#REF!</definedName>
    <definedName name="EksterneData383" localSheetId="14">'Tabell 12'!#REF!</definedName>
    <definedName name="EksterneData383" localSheetId="19">'Tabell 17'!#REF!</definedName>
    <definedName name="EksterneData384" localSheetId="14">'Tabell 12'!#REF!</definedName>
    <definedName name="EksterneData384" localSheetId="19">'Tabell 17'!#REF!</definedName>
    <definedName name="EksterneData385" localSheetId="14">'Tabell 12'!#REF!</definedName>
    <definedName name="EksterneData385" localSheetId="19">'Tabell 17'!#REF!</definedName>
    <definedName name="EksterneData386" localSheetId="14">'Tabell 12'!#REF!</definedName>
    <definedName name="EksterneData386" localSheetId="19">'Tabell 17'!#REF!</definedName>
    <definedName name="EksterneData386_1" localSheetId="14">'Tabell 12'!$A$3:$C$8</definedName>
    <definedName name="EksterneData386_1" localSheetId="19">'Tabell 17'!$A$3:$C$8</definedName>
    <definedName name="EksterneData386_2" localSheetId="14">'Tabell 12'!$A$13:$C$18</definedName>
    <definedName name="EksterneData387" localSheetId="20">'Tabell 18'!#REF!</definedName>
    <definedName name="EksterneData388" localSheetId="20">'Tabell 18'!#REF!</definedName>
    <definedName name="EksterneData389" localSheetId="20">'Tabell 18'!#REF!</definedName>
    <definedName name="EksterneData390" localSheetId="20">'Tabell 18'!#REF!</definedName>
    <definedName name="EksterneData391" localSheetId="20">'Tabell 18'!#REF!</definedName>
    <definedName name="EksterneData392" localSheetId="20">'Tabell 18'!#REF!</definedName>
    <definedName name="EksterneData393" localSheetId="20">'Tabell 18'!#REF!</definedName>
    <definedName name="EksterneData394" localSheetId="20">'Tabell 18'!#REF!</definedName>
    <definedName name="EksterneData395" localSheetId="20">'Tabell 18'!#REF!</definedName>
    <definedName name="EksterneData396" localSheetId="20">'Tabell 18'!#REF!</definedName>
    <definedName name="EksterneData397" localSheetId="20">'Tabell 18'!#REF!</definedName>
    <definedName name="EksterneData398" localSheetId="20">'Tabell 18'!#REF!</definedName>
    <definedName name="EksterneData399" localSheetId="20">'Tabell 18'!#REF!</definedName>
    <definedName name="EksterneData4" localSheetId="12">'Tabell 10'!#REF!</definedName>
    <definedName name="EksterneData4" localSheetId="13">'Tabell 11'!#REF!</definedName>
    <definedName name="EksterneData4" localSheetId="14">'Tabell 12'!#REF!</definedName>
    <definedName name="EksterneData4" localSheetId="18">'Tabell 16'!#REF!</definedName>
    <definedName name="EksterneData4" localSheetId="19">'Tabell 17'!#REF!</definedName>
    <definedName name="EksterneData400" localSheetId="20">'Tabell 18'!#REF!</definedName>
    <definedName name="EksterneData473" localSheetId="22">'Tabell 20'!#REF!</definedName>
    <definedName name="EksterneData474" localSheetId="22">'Tabell 20'!#REF!</definedName>
    <definedName name="EksterneData48" localSheetId="14">'Tabell 12'!#REF!</definedName>
    <definedName name="EksterneData48" localSheetId="19">'Tabell 17'!#REF!</definedName>
    <definedName name="EksterneData49" localSheetId="14">'Tabell 12'!#REF!</definedName>
    <definedName name="EksterneData49" localSheetId="19">'Tabell 17'!#REF!</definedName>
    <definedName name="EksterneData5" localSheetId="12">'Tabell 10'!#REF!</definedName>
    <definedName name="EksterneData5" localSheetId="13">'Tabell 11'!#REF!</definedName>
    <definedName name="EksterneData5" localSheetId="18">'Tabell 16'!#REF!</definedName>
    <definedName name="EksterneData5" localSheetId="20">'Tabell 18'!#REF!</definedName>
    <definedName name="EksterneData50" localSheetId="12">'Tabell 10'!#REF!</definedName>
    <definedName name="EksterneData51" localSheetId="12">'Tabell 10'!#REF!</definedName>
    <definedName name="EksterneData6" localSheetId="12">'Tabell 10'!#REF!</definedName>
    <definedName name="EksterneData6" localSheetId="13">'Tabell 11'!#REF!</definedName>
    <definedName name="EksterneData6" localSheetId="18">'Tabell 16'!#REF!</definedName>
    <definedName name="EksterneData68" localSheetId="22">'Tabell 20'!#REF!</definedName>
    <definedName name="EksterneData69" localSheetId="22">'Tabell 20'!#REF!</definedName>
    <definedName name="EksterneData7" localSheetId="13">'Tabell 11'!#REF!</definedName>
    <definedName name="EksterneData8" localSheetId="13">'Tabell 11'!#REF!</definedName>
    <definedName name="EksterneData8" localSheetId="20">'Tabell 18'!#REF!</definedName>
    <definedName name="EksterneData9" localSheetId="13">'Tabell 11'!#REF!</definedName>
    <definedName name="EksterneData9" localSheetId="20">'Tabell 18'!#REF!</definedName>
    <definedName name="_xlnm.Print_Area" localSheetId="0">'1. Instituttoversikt'!$A$1:$F$60</definedName>
    <definedName name="_xlnm.Print_Area" localSheetId="2">'Tabell 1'!$A$1:$J$24</definedName>
    <definedName name="_xlnm.Print_Area" localSheetId="12">'Tabell 10'!$A$1:$F$41</definedName>
    <definedName name="_xlnm.Print_Area" localSheetId="13">'Tabell 11'!$A$1:$P$40</definedName>
    <definedName name="_xlnm.Print_Area" localSheetId="14">'Tabell 12'!#REF!</definedName>
    <definedName name="_xlnm.Print_Area" localSheetId="17">'Tabell 15'!$A$1:$L$12</definedName>
    <definedName name="_xlnm.Print_Area" localSheetId="18">'Tabell 16'!$A$1:$Q$40</definedName>
    <definedName name="_xlnm.Print_Area" localSheetId="19">'Tabell 17'!$A$1:$L$16</definedName>
    <definedName name="_xlnm.Print_Area" localSheetId="20">'Tabell 18'!$A$1:$X$30</definedName>
    <definedName name="_xlnm.Print_Area" localSheetId="3">'Tabell 2'!$A$1:$S$19</definedName>
    <definedName name="_xlnm.Print_Area" localSheetId="22">'Tabell 20'!$A$1:$G$47</definedName>
    <definedName name="_xlnm.Print_Area" localSheetId="4">'Tabell 2b'!$A$1:$F$19</definedName>
    <definedName name="_xlnm.Print_Area" localSheetId="10">'Tabell 8'!$A$1:$L$10</definedName>
    <definedName name="_xlnm.Print_Area" localSheetId="1">Tabelloversikt!$A$1:$B$28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49" l="1"/>
  <c r="N10" i="49"/>
  <c r="B16" i="73" l="1"/>
  <c r="C14" i="73"/>
  <c r="D14" i="73"/>
  <c r="E14" i="73"/>
  <c r="F14" i="73"/>
  <c r="B14" i="73"/>
  <c r="F21" i="82"/>
  <c r="D7" i="82"/>
  <c r="D8" i="82"/>
  <c r="D9" i="82"/>
  <c r="D6" i="82"/>
  <c r="L9" i="44" l="1"/>
  <c r="K9" i="44"/>
  <c r="H9" i="44"/>
  <c r="G9" i="44"/>
  <c r="F37" i="17"/>
  <c r="F4" i="17"/>
  <c r="I17" i="49"/>
  <c r="B23" i="49"/>
  <c r="P15" i="49"/>
  <c r="I15" i="49" s="1"/>
  <c r="P10" i="49"/>
  <c r="L4" i="74" l="1"/>
  <c r="A1" i="6" l="1"/>
  <c r="A1" i="10"/>
  <c r="A1" i="43"/>
  <c r="A1" i="44"/>
  <c r="A1" i="72"/>
  <c r="A1" i="16"/>
  <c r="A1" i="82"/>
  <c r="A1" i="22"/>
  <c r="A1" i="74"/>
  <c r="A1" i="4"/>
  <c r="A1" i="57"/>
  <c r="A1" i="81"/>
  <c r="F50" i="17" l="1"/>
  <c r="E27" i="82" l="1"/>
  <c r="D27" i="82" s="1"/>
  <c r="C27" i="82" s="1"/>
  <c r="B27" i="82" s="1"/>
  <c r="B10" i="82" l="1"/>
  <c r="C10" i="82"/>
  <c r="D10" i="82" l="1"/>
  <c r="E16" i="82" l="1"/>
  <c r="D16" i="82" l="1"/>
  <c r="E21" i="82" l="1"/>
  <c r="C16" i="82"/>
  <c r="F14" i="17"/>
  <c r="D21" i="82" l="1"/>
  <c r="B16" i="82"/>
  <c r="J15" i="64"/>
  <c r="C21" i="82" l="1"/>
  <c r="B21" i="82"/>
  <c r="F11" i="73"/>
  <c r="J10" i="64"/>
  <c r="J17" i="64" s="1"/>
  <c r="C15" i="81"/>
  <c r="D15" i="81"/>
  <c r="F15" i="64"/>
  <c r="G15" i="64"/>
  <c r="F10" i="64"/>
  <c r="G10" i="64"/>
  <c r="G17" i="64" l="1"/>
  <c r="K10" i="64"/>
  <c r="F17" i="64"/>
  <c r="B15" i="81" l="1"/>
  <c r="B10" i="81"/>
  <c r="E15" i="81"/>
  <c r="E10" i="81"/>
  <c r="C10" i="81"/>
  <c r="C17" i="81" s="1"/>
  <c r="D10" i="81"/>
  <c r="D17" i="81" s="1"/>
  <c r="B17" i="81" l="1"/>
  <c r="F15" i="81"/>
  <c r="E17" i="81"/>
  <c r="F10" i="81"/>
  <c r="A26" i="45"/>
  <c r="A19" i="45" s="1"/>
  <c r="A12" i="45" s="1"/>
  <c r="A16" i="16"/>
  <c r="A5" i="45" l="1"/>
  <c r="F17" i="81"/>
  <c r="A1" i="73"/>
  <c r="A1" i="38"/>
  <c r="A1" i="64"/>
  <c r="A1" i="49"/>
  <c r="F21" i="73" l="1"/>
  <c r="L5" i="73"/>
  <c r="R4" i="38"/>
  <c r="L4" i="38"/>
  <c r="A6" i="16" l="1"/>
  <c r="E21" i="73" l="1"/>
  <c r="D21" i="73" s="1"/>
  <c r="C21" i="73" s="1"/>
  <c r="B21" i="73" s="1"/>
  <c r="K4" i="74" l="1"/>
  <c r="J4" i="74" s="1"/>
  <c r="I4" i="74" s="1"/>
  <c r="H4" i="74" s="1"/>
  <c r="E4" i="74"/>
  <c r="D4" i="74" s="1"/>
  <c r="C4" i="74" s="1"/>
  <c r="F12" i="74"/>
  <c r="E11" i="74"/>
  <c r="F14" i="74"/>
  <c r="D13" i="74"/>
  <c r="L12" i="74"/>
  <c r="F13" i="74"/>
  <c r="F11" i="74"/>
  <c r="K14" i="74"/>
  <c r="L14" i="74"/>
  <c r="J14" i="74"/>
  <c r="K12" i="74"/>
  <c r="C13" i="74"/>
  <c r="L11" i="74"/>
  <c r="L13" i="74"/>
  <c r="J11" i="74"/>
  <c r="K11" i="74"/>
  <c r="B4" i="74" l="1"/>
  <c r="C11" i="74"/>
  <c r="E12" i="74"/>
  <c r="E14" i="74"/>
  <c r="D11" i="74"/>
  <c r="K13" i="74"/>
  <c r="D14" i="74"/>
  <c r="I13" i="74"/>
  <c r="I14" i="74"/>
  <c r="E13" i="74"/>
  <c r="C14" i="74"/>
  <c r="J12" i="74"/>
  <c r="I12" i="74"/>
  <c r="I11" i="74"/>
  <c r="J13" i="74"/>
  <c r="K5" i="73" l="1"/>
  <c r="J5" i="73" s="1"/>
  <c r="I5" i="73" s="1"/>
  <c r="H5" i="73" s="1"/>
  <c r="E5" i="73"/>
  <c r="H14" i="74"/>
  <c r="B14" i="74"/>
  <c r="H12" i="74"/>
  <c r="H13" i="74"/>
  <c r="B11" i="74"/>
  <c r="B13" i="74"/>
  <c r="H11" i="74"/>
  <c r="D5" i="73" l="1"/>
  <c r="C5" i="73"/>
  <c r="B5" i="73" l="1"/>
  <c r="E11" i="73"/>
  <c r="D11" i="73"/>
  <c r="F16" i="73"/>
  <c r="C11" i="73" l="1"/>
  <c r="C16" i="73" s="1"/>
  <c r="B11" i="73"/>
  <c r="D16" i="73"/>
  <c r="E16" i="73"/>
  <c r="A26" i="72" l="1"/>
  <c r="O10" i="64" l="1"/>
  <c r="A19" i="72"/>
  <c r="A12" i="72" l="1"/>
  <c r="F38" i="72"/>
  <c r="E38" i="72"/>
  <c r="C38" i="72"/>
  <c r="G38" i="72"/>
  <c r="B38" i="72"/>
  <c r="D38" i="72"/>
  <c r="E31" i="72"/>
  <c r="F31" i="72"/>
  <c r="C31" i="72"/>
  <c r="G31" i="72"/>
  <c r="B31" i="72"/>
  <c r="D31" i="72"/>
  <c r="C24" i="72"/>
  <c r="D24" i="72"/>
  <c r="G24" i="72" l="1"/>
  <c r="E24" i="72"/>
  <c r="F24" i="72"/>
  <c r="B24" i="72"/>
  <c r="A5" i="72"/>
  <c r="O15" i="64"/>
  <c r="O17" i="64" s="1"/>
  <c r="H31" i="72"/>
  <c r="H38" i="72"/>
  <c r="H24" i="72" l="1"/>
  <c r="B17" i="72"/>
  <c r="C17" i="72"/>
  <c r="F17" i="72"/>
  <c r="D17" i="72"/>
  <c r="E17" i="72"/>
  <c r="G17" i="72"/>
  <c r="H17" i="72" l="1"/>
  <c r="F10" i="72"/>
  <c r="D10" i="72"/>
  <c r="E10" i="72"/>
  <c r="G10" i="72"/>
  <c r="C10" i="72"/>
  <c r="B10" i="72"/>
  <c r="H10" i="72" l="1"/>
  <c r="A26" i="8"/>
  <c r="A19" i="8" s="1"/>
  <c r="A12" i="8" s="1"/>
  <c r="A5" i="8" s="1"/>
  <c r="A14" i="43"/>
  <c r="A4" i="43"/>
  <c r="A26" i="10"/>
  <c r="A19" i="10" s="1"/>
  <c r="A12" i="10" s="1"/>
  <c r="A26" i="6"/>
  <c r="A19" i="6" s="1"/>
  <c r="A12" i="6" s="1"/>
  <c r="A5" i="6" s="1"/>
  <c r="A26" i="22"/>
  <c r="A19" i="22" s="1"/>
  <c r="A28" i="4"/>
  <c r="A20" i="4" s="1"/>
  <c r="A12" i="4" s="1"/>
  <c r="A13" i="57"/>
  <c r="A6" i="57" s="1"/>
  <c r="A67" i="56"/>
  <c r="A60" i="56" s="1"/>
  <c r="A53" i="56" s="1"/>
  <c r="A46" i="56" s="1"/>
  <c r="A26" i="56"/>
  <c r="A12" i="22" l="1"/>
  <c r="A5" i="22" s="1"/>
  <c r="A19" i="56"/>
  <c r="D9" i="44"/>
  <c r="C9" i="44"/>
  <c r="A12" i="56" l="1"/>
  <c r="E9" i="44"/>
  <c r="N10" i="64"/>
  <c r="R10" i="64"/>
  <c r="D10" i="64"/>
  <c r="M10" i="64"/>
  <c r="Q10" i="64"/>
  <c r="P10" i="64"/>
  <c r="L10" i="64"/>
  <c r="L17" i="10"/>
  <c r="K17" i="10"/>
  <c r="D15" i="64"/>
  <c r="R15" i="64"/>
  <c r="M15" i="64"/>
  <c r="K15" i="64"/>
  <c r="K17" i="64" s="1"/>
  <c r="B15" i="64"/>
  <c r="Q15" i="64"/>
  <c r="L15" i="64"/>
  <c r="P15" i="64"/>
  <c r="B10" i="64"/>
  <c r="A5" i="56" l="1"/>
  <c r="B17" i="64"/>
  <c r="E15" i="64"/>
  <c r="E10" i="49"/>
  <c r="E10" i="64"/>
  <c r="M17" i="64"/>
  <c r="J17" i="10"/>
  <c r="L17" i="64"/>
  <c r="P17" i="64"/>
  <c r="R17" i="64"/>
  <c r="Q17" i="64"/>
  <c r="N15" i="64"/>
  <c r="E17" i="64" l="1"/>
  <c r="S10" i="64"/>
  <c r="H10" i="64"/>
  <c r="H15" i="64"/>
  <c r="E15" i="49"/>
  <c r="E17" i="49" s="1"/>
  <c r="N17" i="64"/>
  <c r="D17" i="64"/>
  <c r="S15" i="64" l="1"/>
  <c r="S17" i="64" s="1"/>
  <c r="H17" i="64"/>
  <c r="A1" i="56"/>
  <c r="D38" i="56" l="1"/>
  <c r="D24" i="56"/>
  <c r="D17" i="56"/>
  <c r="D31" i="56"/>
  <c r="B38" i="56" l="1"/>
  <c r="E38" i="56"/>
  <c r="E17" i="56"/>
  <c r="E24" i="56"/>
  <c r="E31" i="56"/>
  <c r="B17" i="56"/>
  <c r="C25" i="57"/>
  <c r="C11" i="57"/>
  <c r="D25" i="57"/>
  <c r="B25" i="57"/>
  <c r="B18" i="57"/>
  <c r="C18" i="57"/>
  <c r="B11" i="57"/>
  <c r="D18" i="57"/>
  <c r="D11" i="57"/>
  <c r="B31" i="56"/>
  <c r="B24" i="56"/>
  <c r="B10" i="56"/>
  <c r="F38" i="56"/>
  <c r="F24" i="56"/>
  <c r="F17" i="56"/>
  <c r="F31" i="56"/>
  <c r="E10" i="56"/>
  <c r="E11" i="57" l="1"/>
  <c r="E25" i="57"/>
  <c r="C38" i="56"/>
  <c r="C24" i="56"/>
  <c r="C17" i="56"/>
  <c r="C31" i="56"/>
  <c r="E18" i="57"/>
  <c r="C10" i="56"/>
  <c r="F10" i="56"/>
  <c r="D10" i="56"/>
  <c r="G38" i="56" l="1"/>
  <c r="G31" i="56"/>
  <c r="B72" i="56" s="1"/>
  <c r="G17" i="56"/>
  <c r="C58" i="56" s="1"/>
  <c r="G24" i="56"/>
  <c r="B65" i="56" s="1"/>
  <c r="G10" i="56"/>
  <c r="F51" i="56" s="1"/>
  <c r="E72" i="56" l="1"/>
  <c r="C72" i="56"/>
  <c r="F79" i="56"/>
  <c r="D65" i="56"/>
  <c r="D72" i="56"/>
  <c r="G72" i="56"/>
  <c r="F72" i="56"/>
  <c r="C79" i="56"/>
  <c r="B79" i="56"/>
  <c r="I10" i="49" s="1"/>
  <c r="E79" i="56"/>
  <c r="D79" i="56"/>
  <c r="G79" i="56"/>
  <c r="E58" i="56"/>
  <c r="G58" i="56"/>
  <c r="C65" i="56"/>
  <c r="B58" i="56"/>
  <c r="D58" i="56"/>
  <c r="E65" i="56"/>
  <c r="F58" i="56"/>
  <c r="G65" i="56"/>
  <c r="F65" i="56"/>
  <c r="G51" i="56"/>
  <c r="B51" i="56"/>
  <c r="E51" i="56"/>
  <c r="C51" i="56"/>
  <c r="D51" i="56"/>
  <c r="K4" i="52"/>
  <c r="E4" i="52"/>
  <c r="D4" i="52" l="1"/>
  <c r="J4" i="52"/>
  <c r="N15" i="49" l="1"/>
  <c r="C4" i="52"/>
  <c r="K10" i="49"/>
  <c r="I4" i="52"/>
  <c r="B4" i="52" l="1"/>
  <c r="H4" i="52"/>
  <c r="D15" i="49"/>
  <c r="G15" i="49" l="1"/>
  <c r="A1" i="52" l="1"/>
  <c r="B12" i="52" l="1"/>
  <c r="E12" i="52"/>
  <c r="E9" i="52"/>
  <c r="F9" i="52"/>
  <c r="K12" i="52"/>
  <c r="H12" i="52"/>
  <c r="C9" i="52" l="1"/>
  <c r="C12" i="52"/>
  <c r="B9" i="52"/>
  <c r="D12" i="52"/>
  <c r="D9" i="52"/>
  <c r="I12" i="52"/>
  <c r="J12" i="52"/>
  <c r="F12" i="52" l="1"/>
  <c r="L12" i="52"/>
  <c r="E4" i="38" l="1"/>
  <c r="D4" i="38" l="1"/>
  <c r="G10" i="49" l="1"/>
  <c r="G17" i="49" s="1"/>
  <c r="C4" i="38"/>
  <c r="F10" i="49" l="1"/>
  <c r="B4" i="38"/>
  <c r="M15" i="49" l="1"/>
  <c r="L10" i="49" l="1"/>
  <c r="K15" i="49"/>
  <c r="K17" i="49" s="1"/>
  <c r="L15" i="49"/>
  <c r="O15" i="49" s="1"/>
  <c r="M10" i="49"/>
  <c r="M17" i="49" s="1"/>
  <c r="L17" i="49" l="1"/>
  <c r="O17" i="49" s="1"/>
  <c r="C15" i="49"/>
  <c r="C10" i="49"/>
  <c r="C17" i="49" l="1"/>
  <c r="H15" i="49"/>
  <c r="F15" i="49"/>
  <c r="F17" i="49" s="1"/>
  <c r="B10" i="49" l="1"/>
  <c r="B15" i="49"/>
  <c r="B17" i="49" l="1"/>
  <c r="Q4" i="38"/>
  <c r="P4" i="38" s="1"/>
  <c r="O4" i="38" s="1"/>
  <c r="N4" i="38" s="1"/>
  <c r="K4" i="38"/>
  <c r="J4" i="38" l="1"/>
  <c r="K13" i="38" l="1"/>
  <c r="I4" i="38"/>
  <c r="J13" i="38" l="1"/>
  <c r="H4" i="38"/>
  <c r="A17" i="45"/>
  <c r="A24" i="45" s="1"/>
  <c r="A31" i="45" s="1"/>
  <c r="A38" i="45" s="1"/>
  <c r="A1" i="45"/>
  <c r="I13" i="38" l="1"/>
  <c r="O9" i="44"/>
  <c r="P9" i="44"/>
  <c r="Q9" i="44" l="1"/>
  <c r="M9" i="44"/>
  <c r="I9" i="44"/>
  <c r="D10" i="45" l="1"/>
  <c r="F10" i="45"/>
  <c r="E10" i="45"/>
  <c r="C10" i="45"/>
  <c r="G10" i="45"/>
  <c r="C17" i="45"/>
  <c r="E17" i="45"/>
  <c r="G17" i="45"/>
  <c r="F17" i="45"/>
  <c r="D17" i="45"/>
  <c r="B10" i="45"/>
  <c r="B17" i="45"/>
  <c r="B24" i="45" l="1"/>
  <c r="E38" i="45"/>
  <c r="C31" i="45"/>
  <c r="F24" i="45"/>
  <c r="B31" i="45"/>
  <c r="F31" i="45"/>
  <c r="B38" i="45"/>
  <c r="C24" i="45"/>
  <c r="D31" i="45"/>
  <c r="E24" i="45"/>
  <c r="G31" i="45"/>
  <c r="E31" i="45"/>
  <c r="D24" i="45"/>
  <c r="G20" i="43"/>
  <c r="G24" i="45"/>
  <c r="B20" i="43"/>
  <c r="B10" i="43"/>
  <c r="I20" i="43"/>
  <c r="G10" i="43"/>
  <c r="I10" i="43" l="1"/>
  <c r="H20" i="43"/>
  <c r="H10" i="43"/>
  <c r="D20" i="43"/>
  <c r="D10" i="43"/>
  <c r="C10" i="43"/>
  <c r="C20" i="43"/>
  <c r="A4" i="4"/>
  <c r="J20" i="43" l="1"/>
  <c r="J10" i="43"/>
  <c r="E20" i="43"/>
  <c r="E10" i="43"/>
  <c r="A1" i="15" l="1"/>
  <c r="A1" i="14" l="1"/>
  <c r="D41" i="4" l="1"/>
  <c r="B41" i="4"/>
  <c r="E9" i="4" l="1"/>
  <c r="B9" i="4"/>
  <c r="C9" i="4"/>
  <c r="D9" i="4"/>
  <c r="E25" i="4"/>
  <c r="B25" i="4"/>
  <c r="C25" i="4"/>
  <c r="D25" i="4"/>
  <c r="E41" i="4"/>
  <c r="C41" i="4"/>
  <c r="E33" i="4"/>
  <c r="B33" i="4"/>
  <c r="D33" i="4"/>
  <c r="C33" i="4"/>
  <c r="F9" i="4" l="1"/>
  <c r="F25" i="4"/>
  <c r="F41" i="4"/>
  <c r="F33" i="4"/>
  <c r="L13" i="38" l="1"/>
  <c r="H13" i="38"/>
  <c r="B10" i="38" l="1"/>
  <c r="B13" i="38"/>
  <c r="B30" i="73" s="1"/>
  <c r="D13" i="38"/>
  <c r="D30" i="73" s="1"/>
  <c r="C13" i="38"/>
  <c r="C30" i="73" s="1"/>
  <c r="F13" i="38"/>
  <c r="F30" i="73" s="1"/>
  <c r="E13" i="38"/>
  <c r="E30" i="73" s="1"/>
  <c r="E10" i="38"/>
  <c r="F10" i="38"/>
  <c r="F15" i="38" s="1"/>
  <c r="R13" i="38" l="1"/>
  <c r="F27" i="73"/>
  <c r="E27" i="73"/>
  <c r="N13" i="38"/>
  <c r="O13" i="38"/>
  <c r="Q13" i="38"/>
  <c r="P13" i="38"/>
  <c r="E15" i="38"/>
  <c r="E32" i="73" s="1"/>
  <c r="F32" i="73"/>
  <c r="A26" i="15"/>
  <c r="A25" i="15"/>
  <c r="A24" i="15"/>
  <c r="A23" i="15"/>
  <c r="A22" i="15"/>
  <c r="A21" i="15"/>
  <c r="A5" i="10"/>
  <c r="A1" i="8"/>
  <c r="N25" i="15"/>
  <c r="H25" i="15"/>
  <c r="C25" i="15"/>
  <c r="T25" i="15"/>
  <c r="R25" i="15"/>
  <c r="E25" i="15"/>
  <c r="B25" i="15"/>
  <c r="F25" i="15"/>
  <c r="U25" i="15"/>
  <c r="K25" i="15"/>
  <c r="I25" i="15"/>
  <c r="Q25" i="15"/>
  <c r="O25" i="15"/>
  <c r="L25" i="15"/>
  <c r="C24" i="15"/>
  <c r="O24" i="15"/>
  <c r="U23" i="15"/>
  <c r="I23" i="15"/>
  <c r="R22" i="15"/>
  <c r="B24" i="15"/>
  <c r="O21" i="15"/>
  <c r="F23" i="15"/>
  <c r="O22" i="15"/>
  <c r="O23" i="15"/>
  <c r="Q22" i="15"/>
  <c r="T23" i="15"/>
  <c r="N24" i="15"/>
  <c r="B23" i="15"/>
  <c r="L21" i="15"/>
  <c r="Q24" i="15"/>
  <c r="N23" i="15"/>
  <c r="Q21" i="15"/>
  <c r="U24" i="15"/>
  <c r="H22" i="15"/>
  <c r="C21" i="15"/>
  <c r="U22" i="15"/>
  <c r="R23" i="15"/>
  <c r="Q23" i="15"/>
  <c r="B21" i="15"/>
  <c r="I24" i="15"/>
  <c r="E24" i="15"/>
  <c r="I22" i="15"/>
  <c r="U21" i="15"/>
  <c r="I21" i="15"/>
  <c r="T22" i="15"/>
  <c r="R24" i="15"/>
  <c r="E22" i="15"/>
  <c r="N22" i="15"/>
  <c r="L24" i="15"/>
  <c r="T24" i="15"/>
  <c r="K23" i="15"/>
  <c r="H21" i="15"/>
  <c r="T21" i="15"/>
  <c r="F22" i="15"/>
  <c r="L22" i="15"/>
  <c r="K21" i="15"/>
  <c r="F24" i="15"/>
  <c r="K22" i="15"/>
  <c r="N21" i="15"/>
  <c r="F21" i="15"/>
  <c r="K24" i="15"/>
  <c r="H24" i="15"/>
  <c r="C23" i="15"/>
  <c r="B22" i="15"/>
  <c r="C22" i="15"/>
  <c r="L23" i="15"/>
  <c r="E23" i="15"/>
  <c r="E21" i="15"/>
  <c r="R21" i="15"/>
  <c r="H23" i="15"/>
  <c r="D10" i="14" l="1"/>
  <c r="D13" i="14" s="1"/>
  <c r="C10" i="14"/>
  <c r="C13" i="14" s="1"/>
  <c r="D17" i="10"/>
  <c r="C17" i="10"/>
  <c r="N10" i="8"/>
  <c r="O10" i="8"/>
  <c r="P10" i="8"/>
  <c r="U20" i="15"/>
  <c r="U26" i="15" s="1"/>
  <c r="O10" i="15"/>
  <c r="E20" i="15"/>
  <c r="E26" i="15" s="1"/>
  <c r="T20" i="15"/>
  <c r="T26" i="15" s="1"/>
  <c r="C20" i="15"/>
  <c r="C26" i="15" s="1"/>
  <c r="Q20" i="15"/>
  <c r="Q26" i="15" s="1"/>
  <c r="R10" i="15"/>
  <c r="L10" i="14"/>
  <c r="L13" i="14" s="1"/>
  <c r="G10" i="14"/>
  <c r="G13" i="14" s="1"/>
  <c r="T10" i="15"/>
  <c r="F20" i="15"/>
  <c r="F26" i="15" s="1"/>
  <c r="H10" i="14"/>
  <c r="H13" i="14" s="1"/>
  <c r="E10" i="8"/>
  <c r="F10" i="8"/>
  <c r="M10" i="8"/>
  <c r="G10" i="8"/>
  <c r="K20" i="15"/>
  <c r="K26" i="15" s="1"/>
  <c r="K10" i="15"/>
  <c r="L10" i="15"/>
  <c r="O20" i="15"/>
  <c r="O26" i="15" s="1"/>
  <c r="Q10" i="15"/>
  <c r="K10" i="14"/>
  <c r="K13" i="14" s="1"/>
  <c r="B20" i="15"/>
  <c r="B26" i="15" s="1"/>
  <c r="R20" i="15"/>
  <c r="R26" i="15" s="1"/>
  <c r="I10" i="15"/>
  <c r="L20" i="15"/>
  <c r="L26" i="15" s="1"/>
  <c r="B10" i="15"/>
  <c r="F10" i="15"/>
  <c r="N10" i="15"/>
  <c r="E10" i="15"/>
  <c r="N20" i="15"/>
  <c r="N26" i="15" s="1"/>
  <c r="H20" i="15"/>
  <c r="H26" i="15" s="1"/>
  <c r="I20" i="15"/>
  <c r="I26" i="15" s="1"/>
  <c r="H10" i="15"/>
  <c r="C10" i="15"/>
  <c r="U10" i="15"/>
  <c r="X24" i="15"/>
  <c r="X23" i="15"/>
  <c r="X21" i="15"/>
  <c r="B17" i="4"/>
  <c r="W24" i="15"/>
  <c r="W22" i="15"/>
  <c r="W21" i="15"/>
  <c r="X22" i="15"/>
  <c r="X25" i="15"/>
  <c r="C17" i="4"/>
  <c r="W25" i="15"/>
  <c r="W23" i="15"/>
  <c r="D17" i="4"/>
  <c r="P17" i="8"/>
  <c r="O17" i="8"/>
  <c r="N17" i="8"/>
  <c r="M17" i="8"/>
  <c r="E17" i="8"/>
  <c r="F17" i="8"/>
  <c r="G17" i="8"/>
  <c r="P17" i="10"/>
  <c r="O17" i="10"/>
  <c r="K10" i="10" l="1"/>
  <c r="P10" i="10"/>
  <c r="D10" i="10"/>
  <c r="C10" i="10"/>
  <c r="O10" i="10"/>
  <c r="L10" i="10"/>
  <c r="B10" i="14"/>
  <c r="B13" i="14" s="1"/>
  <c r="W20" i="15"/>
  <c r="X10" i="15"/>
  <c r="H10" i="49"/>
  <c r="H17" i="49" s="1"/>
  <c r="B17" i="10"/>
  <c r="D24" i="10"/>
  <c r="C24" i="10"/>
  <c r="X20" i="15"/>
  <c r="X26" i="15"/>
  <c r="W26" i="15"/>
  <c r="W10" i="15"/>
  <c r="F10" i="14"/>
  <c r="F13" i="14" s="1"/>
  <c r="E17" i="4"/>
  <c r="F17" i="4" s="1"/>
  <c r="J10" i="14"/>
  <c r="J13" i="14" s="1"/>
  <c r="P24" i="8"/>
  <c r="O24" i="8"/>
  <c r="M24" i="8"/>
  <c r="N24" i="8"/>
  <c r="E24" i="8"/>
  <c r="G24" i="8"/>
  <c r="F24" i="8"/>
  <c r="N17" i="10"/>
  <c r="N10" i="10" l="1"/>
  <c r="J10" i="10"/>
  <c r="B10" i="10"/>
  <c r="L30" i="16"/>
  <c r="I30" i="16"/>
  <c r="E30" i="16"/>
  <c r="B30" i="16"/>
  <c r="K30" i="16"/>
  <c r="C30" i="16"/>
  <c r="F30" i="16"/>
  <c r="H30" i="16"/>
  <c r="B21" i="16"/>
  <c r="E21" i="16"/>
  <c r="C21" i="16"/>
  <c r="F21" i="16"/>
  <c r="H21" i="16"/>
  <c r="K21" i="16"/>
  <c r="L21" i="16"/>
  <c r="I21" i="16"/>
  <c r="K11" i="16"/>
  <c r="F11" i="16"/>
  <c r="C11" i="16"/>
  <c r="I11" i="16"/>
  <c r="L11" i="16"/>
  <c r="B11" i="16"/>
  <c r="E11" i="16"/>
  <c r="H11" i="16"/>
  <c r="B24" i="10"/>
  <c r="D31" i="10"/>
  <c r="C31" i="10"/>
  <c r="P31" i="8"/>
  <c r="O31" i="8"/>
  <c r="N31" i="8"/>
  <c r="M31" i="8"/>
  <c r="G31" i="8"/>
  <c r="E31" i="8"/>
  <c r="F31" i="8"/>
  <c r="O30" i="16" l="1"/>
  <c r="N30" i="16"/>
  <c r="O21" i="16"/>
  <c r="N21" i="16"/>
  <c r="O11" i="16"/>
  <c r="N11" i="16"/>
  <c r="B31" i="10"/>
  <c r="C38" i="10"/>
  <c r="D38" i="10"/>
  <c r="B38" i="10" l="1"/>
  <c r="C38" i="45" l="1"/>
  <c r="G38" i="45"/>
  <c r="F38" i="45"/>
  <c r="D38" i="45"/>
  <c r="L10" i="38" l="1"/>
  <c r="C10" i="38"/>
  <c r="D10" i="38"/>
  <c r="L15" i="38" l="1"/>
  <c r="R15" i="38" s="1"/>
  <c r="R10" i="38"/>
  <c r="D27" i="73"/>
  <c r="C27" i="73"/>
  <c r="D15" i="38"/>
  <c r="D32" i="73" s="1"/>
  <c r="C15" i="38"/>
  <c r="C32" i="73" s="1"/>
  <c r="K10" i="38"/>
  <c r="J10" i="38"/>
  <c r="B27" i="73" l="1"/>
  <c r="Q10" i="38"/>
  <c r="K15" i="38"/>
  <c r="Q15" i="38" s="1"/>
  <c r="P10" i="38"/>
  <c r="J15" i="38"/>
  <c r="P15" i="38" s="1"/>
  <c r="B15" i="38"/>
  <c r="B32" i="73" s="1"/>
  <c r="I10" i="38"/>
  <c r="O10" i="38" l="1"/>
  <c r="I15" i="38"/>
  <c r="O15" i="38" s="1"/>
  <c r="H10" i="38"/>
  <c r="N10" i="38" l="1"/>
  <c r="H15" i="38"/>
  <c r="N15" i="38" s="1"/>
  <c r="I31" i="22" l="1"/>
  <c r="D17" i="22"/>
  <c r="D38" i="8"/>
  <c r="D10" i="22"/>
  <c r="C38" i="8"/>
  <c r="D31" i="8"/>
  <c r="B38" i="8"/>
  <c r="H24" i="22"/>
  <c r="H10" i="10"/>
  <c r="J31" i="8"/>
  <c r="C31" i="8"/>
  <c r="D17" i="8"/>
  <c r="D24" i="8"/>
  <c r="I10" i="22"/>
  <c r="P31" i="10"/>
  <c r="J38" i="8"/>
  <c r="I24" i="22"/>
  <c r="B24" i="22"/>
  <c r="H38" i="22"/>
  <c r="D17" i="6"/>
  <c r="B24" i="8"/>
  <c r="L38" i="10"/>
  <c r="C10" i="8"/>
  <c r="D38" i="6"/>
  <c r="K31" i="8"/>
  <c r="K38" i="10"/>
  <c r="I17" i="22"/>
  <c r="D24" i="22"/>
  <c r="O31" i="10"/>
  <c r="D38" i="22"/>
  <c r="I38" i="22"/>
  <c r="H38" i="10"/>
  <c r="L10" i="8"/>
  <c r="H10" i="22"/>
  <c r="C10" i="6"/>
  <c r="B10" i="22"/>
  <c r="P24" i="10"/>
  <c r="C17" i="8"/>
  <c r="E38" i="8"/>
  <c r="G10" i="10"/>
  <c r="C24" i="6"/>
  <c r="B17" i="22"/>
  <c r="H31" i="22"/>
  <c r="K31" i="10"/>
  <c r="D31" i="22"/>
  <c r="H17" i="10"/>
  <c r="J24" i="8"/>
  <c r="C17" i="6"/>
  <c r="D10" i="8"/>
  <c r="J10" i="8"/>
  <c r="G38" i="10"/>
  <c r="C24" i="22"/>
  <c r="B38" i="22"/>
  <c r="J17" i="8"/>
  <c r="G31" i="10"/>
  <c r="L31" i="8"/>
  <c r="L24" i="10"/>
  <c r="D10" i="6"/>
  <c r="B31" i="22"/>
  <c r="K17" i="8"/>
  <c r="K38" i="8"/>
  <c r="L38" i="8"/>
  <c r="B17" i="8"/>
  <c r="H31" i="10"/>
  <c r="L17" i="8"/>
  <c r="G17" i="10"/>
  <c r="B31" i="8"/>
  <c r="K10" i="8"/>
  <c r="C38" i="22"/>
  <c r="H17" i="22"/>
  <c r="H24" i="10"/>
  <c r="K24" i="8"/>
  <c r="K24" i="10"/>
  <c r="M38" i="8"/>
  <c r="C31" i="22"/>
  <c r="P38" i="10"/>
  <c r="C17" i="22"/>
  <c r="F38" i="8"/>
  <c r="L31" i="10"/>
  <c r="G38" i="8"/>
  <c r="G24" i="10"/>
  <c r="C24" i="8"/>
  <c r="B10" i="8"/>
  <c r="N38" i="8"/>
  <c r="C10" i="22"/>
  <c r="D24" i="6"/>
  <c r="C31" i="6"/>
  <c r="L24" i="8"/>
  <c r="C38" i="6"/>
  <c r="P38" i="8"/>
  <c r="O24" i="10"/>
  <c r="D31" i="6"/>
  <c r="O38" i="8"/>
  <c r="M24" i="22"/>
  <c r="M38" i="22"/>
  <c r="M31" i="22"/>
  <c r="M17" i="22"/>
  <c r="H31" i="8" l="1"/>
  <c r="D9" i="74"/>
  <c r="D16" i="74" s="1"/>
  <c r="B9" i="74"/>
  <c r="B16" i="74" s="1"/>
  <c r="F9" i="74"/>
  <c r="F16" i="74" s="1"/>
  <c r="E9" i="74"/>
  <c r="E16" i="74" s="1"/>
  <c r="C9" i="74"/>
  <c r="C16" i="74" s="1"/>
  <c r="F24" i="10"/>
  <c r="H17" i="8"/>
  <c r="E17" i="22"/>
  <c r="E31" i="22"/>
  <c r="J24" i="10"/>
  <c r="E24" i="22"/>
  <c r="E38" i="22"/>
  <c r="S9" i="44" s="1"/>
  <c r="E10" i="22"/>
  <c r="H10" i="8"/>
  <c r="Q10" i="8"/>
  <c r="B10" i="6"/>
  <c r="G38" i="22"/>
  <c r="F10" i="10"/>
  <c r="H38" i="8"/>
  <c r="N24" i="10"/>
  <c r="F17" i="10"/>
  <c r="F31" i="10"/>
  <c r="Q17" i="8"/>
  <c r="Q24" i="8"/>
  <c r="G31" i="22"/>
  <c r="H24" i="8"/>
  <c r="B38" i="6"/>
  <c r="U9" i="44" s="1"/>
  <c r="B24" i="6"/>
  <c r="N31" i="10"/>
  <c r="Q38" i="8"/>
  <c r="Q31" i="8"/>
  <c r="G24" i="22"/>
  <c r="B31" i="6"/>
  <c r="G17" i="22"/>
  <c r="F38" i="10"/>
  <c r="B17" i="6"/>
  <c r="J31" i="10"/>
  <c r="G10" i="22"/>
  <c r="J38" i="10"/>
  <c r="M10" i="22"/>
  <c r="J38" i="22" l="1"/>
  <c r="T9" i="44" s="1"/>
  <c r="J11" i="73"/>
  <c r="J9" i="74"/>
  <c r="J16" i="74" s="1"/>
  <c r="I11" i="73"/>
  <c r="I9" i="74"/>
  <c r="I16" i="74" s="1"/>
  <c r="K11" i="73"/>
  <c r="K9" i="74"/>
  <c r="K16" i="74" s="1"/>
  <c r="L11" i="73"/>
  <c r="L9" i="74"/>
  <c r="L16" i="74" s="1"/>
  <c r="H9" i="74"/>
  <c r="H16" i="74" s="1"/>
  <c r="H11" i="73"/>
  <c r="J24" i="22"/>
  <c r="K24" i="22"/>
  <c r="J9" i="52"/>
  <c r="F31" i="6"/>
  <c r="E31" i="6"/>
  <c r="D10" i="49"/>
  <c r="D17" i="49" s="1"/>
  <c r="E24" i="6"/>
  <c r="F24" i="6"/>
  <c r="H9" i="52"/>
  <c r="K10" i="22"/>
  <c r="I9" i="52"/>
  <c r="K17" i="22"/>
  <c r="J10" i="22"/>
  <c r="K38" i="22"/>
  <c r="L9" i="52"/>
  <c r="F10" i="6"/>
  <c r="E10" i="6"/>
  <c r="J17" i="22"/>
  <c r="E38" i="6"/>
  <c r="F38" i="6"/>
  <c r="J31" i="22"/>
  <c r="K9" i="52"/>
  <c r="K31" i="22"/>
  <c r="E17" i="6"/>
  <c r="F17" i="6"/>
  <c r="N17" i="22"/>
  <c r="N38" i="22"/>
  <c r="N31" i="22"/>
  <c r="N24" i="22"/>
  <c r="N10" i="22"/>
  <c r="O10" i="4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P:\_Update2007\My Data Sources\(Default).odc" keepAlive="1" name="(Default)1" type="5" refreshedVersion="6" saveData="1">
    <dbPr connection="Provider=Microsoft.ACE.OLEDB.12.0;User ID=Admin;Data Source=X:\421\Gruppe UoH-Instsekt-Fpers\5. Nøkkeltall\Ntall\Ntall_Fin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ppslagNTallOkonomi" commandType="3"/>
  </connection>
  <connection id="2" xr16:uid="{00000000-0015-0000-FFFF-FFFF01000000}" odcFile="P:\_Update2007\My Data Sources\(Default).odc" keepAlive="1" name="(Default)11" type="5" refreshedVersion="6" saveData="1">
    <dbPr connection="Provider=Microsoft.ACE.OLEDB.12.0;User ID=Admin;Data Source=X:\421\Gruppe UoH-Instsekt-Fpers\5. Nøkkeltall\Ntall\Ntall_Fin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ppslagNTallOkonomi" commandType="3"/>
  </connection>
  <connection id="3" xr16:uid="{00000000-0015-0000-FFFF-FFFF02000000}" name="Tilkobling1" type="1" refreshedVersion="2" savePassword="1" deleted="1" background="1" saveData="1">
    <dbPr connection="" command=""/>
  </connection>
  <connection id="4" xr16:uid="{00000000-0015-0000-FFFF-FFFF03000000}" name="Tilkobling101" type="1" refreshedVersion="0" savePassword="1" deleted="1" background="1" saveData="1">
    <dbPr connection="" command=""/>
  </connection>
  <connection id="5" xr16:uid="{00000000-0015-0000-FFFF-FFFF04000000}" name="Tilkobling111" type="1" refreshedVersion="0" savePassword="1" deleted="1" background="1" saveData="1">
    <dbPr connection="" command=""/>
  </connection>
  <connection id="6" xr16:uid="{00000000-0015-0000-FFFF-FFFF05000000}" name="Tilkobling2" type="1" refreshedVersion="2" savePassword="1" deleted="1" background="1" saveData="1">
    <dbPr connection="" command=""/>
  </connection>
  <connection id="7" xr16:uid="{00000000-0015-0000-FFFF-FFFF06000000}" name="Tilkobling5" type="1" refreshedVersion="2" savePassword="1" deleted="1" background="1" saveData="1">
    <dbPr connection="" command=""/>
  </connection>
  <connection id="8" xr16:uid="{00000000-0015-0000-FFFF-FFFF07000000}" name="Tilkobling6" type="1" refreshedVersion="2" savePassword="1" deleted="1" background="1" saveData="1">
    <dbPr connection="" command=""/>
  </connection>
  <connection id="9" xr16:uid="{00000000-0015-0000-FFFF-FFFF08000000}" name="Tilkobling7" type="1" refreshedVersion="2" savePassword="1" deleted="1" background="1" saveData="1">
    <dbPr connection="" command=""/>
  </connection>
  <connection id="10" xr16:uid="{00000000-0015-0000-FFFF-FFFF09000000}" name="Tilkobling8" type="1" refreshedVersion="2" savePassword="1" deleted="1" background="1" saveData="1">
    <dbPr connection="" command=""/>
  </connection>
  <connection id="11" xr16:uid="{00000000-0015-0000-FFFF-FFFF0A000000}" name="Tilkobling9" type="1" refreshedVersion="2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<sst xmlns="http://schemas.openxmlformats.org/spreadsheetml/2006/main" count="1034" uniqueCount="277">
  <si>
    <t>Totalt</t>
  </si>
  <si>
    <t>Instituttgruppe</t>
  </si>
  <si>
    <t>Mill. kr</t>
  </si>
  <si>
    <t>Prosent</t>
  </si>
  <si>
    <t>Primærnæringsinstitutter</t>
  </si>
  <si>
    <t>Samfunnsvitenskapelige institutter</t>
  </si>
  <si>
    <t>Teknisk-industrielle institutter</t>
  </si>
  <si>
    <t>Norges forskningsråd</t>
  </si>
  <si>
    <t>Næringslivet</t>
  </si>
  <si>
    <t>Utlandet</t>
  </si>
  <si>
    <t>Andre kilder</t>
  </si>
  <si>
    <t>TOTALT</t>
  </si>
  <si>
    <t>EU-institusjoner</t>
  </si>
  <si>
    <t>Utenlandsk næringsliv</t>
  </si>
  <si>
    <t>Alle årsverk</t>
  </si>
  <si>
    <t>Årsverk utført av forskere og annet faglig personale</t>
  </si>
  <si>
    <t>Kvinner</t>
  </si>
  <si>
    <t>Menn</t>
  </si>
  <si>
    <t>Antall</t>
  </si>
  <si>
    <t>Avgang til</t>
  </si>
  <si>
    <t>Tilvekst fra</t>
  </si>
  <si>
    <t>Næringsliv</t>
  </si>
  <si>
    <t>UoH</t>
  </si>
  <si>
    <t>Andre forskn.-institutt</t>
  </si>
  <si>
    <t xml:space="preserve">Kvinner </t>
  </si>
  <si>
    <t>Antall patentsøknader</t>
  </si>
  <si>
    <t>Norge</t>
  </si>
  <si>
    <t>Antall meddelte patenter</t>
  </si>
  <si>
    <t>Antall nye lisenser solgt</t>
  </si>
  <si>
    <t>Samlede lisensinntekter 1000 kr</t>
  </si>
  <si>
    <t>Sum</t>
  </si>
  <si>
    <t>Norden</t>
  </si>
  <si>
    <t>EU, ekskl Norden</t>
  </si>
  <si>
    <t>Europa forøvrig</t>
  </si>
  <si>
    <t>USA</t>
  </si>
  <si>
    <t>Canada</t>
  </si>
  <si>
    <t>Asia</t>
  </si>
  <si>
    <t xml:space="preserve">     Annet</t>
  </si>
  <si>
    <t xml:space="preserve">     Totalt</t>
  </si>
  <si>
    <t>Mnd.</t>
  </si>
  <si>
    <t>501 - 2000</t>
  </si>
  <si>
    <t>Forkortelse</t>
  </si>
  <si>
    <t>Statlig bevilgningsansvar</t>
  </si>
  <si>
    <t>Rettslig status</t>
  </si>
  <si>
    <t>Landbruks- og matdepartementet</t>
  </si>
  <si>
    <t>Aksjeselskap</t>
  </si>
  <si>
    <t>Statlig</t>
  </si>
  <si>
    <t>Stiftelse</t>
  </si>
  <si>
    <t>VETERINÆRINSTITUTTET</t>
  </si>
  <si>
    <t>HAVFORSKNINGSINSTITUTTET</t>
  </si>
  <si>
    <t>FORSKNINGSSTIFTELSEN FAFO</t>
  </si>
  <si>
    <t>FAFO</t>
  </si>
  <si>
    <t>FRIDTJOF NANSENS INSTITUTT</t>
  </si>
  <si>
    <t>FNI</t>
  </si>
  <si>
    <t>INSTITUTT FOR FREDSFORSKNING</t>
  </si>
  <si>
    <t>PRIO</t>
  </si>
  <si>
    <t>INSTITUTT FOR SAMFUNNSFORSKNING</t>
  </si>
  <si>
    <t>ISF</t>
  </si>
  <si>
    <t>MØREFORSKING</t>
  </si>
  <si>
    <t>Møreforsking</t>
  </si>
  <si>
    <t>NORDLANDSFORSKNING</t>
  </si>
  <si>
    <t>SAMFUNNS- OG NÆRINGSLIVSFORSKNING AS</t>
  </si>
  <si>
    <t>SNF</t>
  </si>
  <si>
    <t>Østfoldforskning</t>
  </si>
  <si>
    <t>TRANSPORTØKONOMISK INSTITUTT</t>
  </si>
  <si>
    <t>TØI</t>
  </si>
  <si>
    <t>VESTLANDSFORSKING</t>
  </si>
  <si>
    <t>NORSK UTENRIKSPOLITISK INSTITUTT</t>
  </si>
  <si>
    <t>NUPI</t>
  </si>
  <si>
    <t>NTNU Samfunnsforskning AS</t>
  </si>
  <si>
    <t>CHR. MICHELSENS INSTITUTT</t>
  </si>
  <si>
    <t>CMI</t>
  </si>
  <si>
    <t>CICERO SENTER FOR KLIMAFORSKNING</t>
  </si>
  <si>
    <t>CICERO</t>
  </si>
  <si>
    <t>NORSK INSTITUTT FOR KULTURMINNEFORSKNING</t>
  </si>
  <si>
    <t>NIKU</t>
  </si>
  <si>
    <t>NORSK INSTITUTT FOR LUFTFORSKNING</t>
  </si>
  <si>
    <t>NILU</t>
  </si>
  <si>
    <t>NORSK INSTITUTT FOR NATURFORSKNING</t>
  </si>
  <si>
    <t>NINA</t>
  </si>
  <si>
    <t>NORSK INSTITUTT FOR VANNFORSKNING</t>
  </si>
  <si>
    <t>NIVA</t>
  </si>
  <si>
    <t>INSTITUTT FOR ENERGITEKNIKK</t>
  </si>
  <si>
    <t>IFE</t>
  </si>
  <si>
    <t>NORGES GEOTEKNISKE INSTITUTT</t>
  </si>
  <si>
    <t>NGI</t>
  </si>
  <si>
    <t>NORSAR</t>
  </si>
  <si>
    <t>NORSK REGNESENTRAL</t>
  </si>
  <si>
    <t>NR</t>
  </si>
  <si>
    <t>SINTEF</t>
  </si>
  <si>
    <t>Veterinærinstituttet</t>
  </si>
  <si>
    <t>Havforskningsinstituttet</t>
  </si>
  <si>
    <t>Nordlandsforskning</t>
  </si>
  <si>
    <t>Vestlandsforsking</t>
  </si>
  <si>
    <t>Antall avlagte doktorgrader der instituttet har bidratt med veiledning</t>
  </si>
  <si>
    <t>Tabelloversikt</t>
  </si>
  <si>
    <t>Vitenskapelig publisering</t>
  </si>
  <si>
    <t>Øvrige institusjoner og organisasjoner</t>
  </si>
  <si>
    <t>Kunnskapsdepartementet</t>
  </si>
  <si>
    <t>NOFIMA</t>
  </si>
  <si>
    <t>Artikler i periodika eller serier</t>
  </si>
  <si>
    <t>Artikler i antologier</t>
  </si>
  <si>
    <t>Monografi</t>
  </si>
  <si>
    <t>FORSVARETS FORSKNINGSINSTITUTT</t>
  </si>
  <si>
    <t>FFI</t>
  </si>
  <si>
    <t>Forsvarsdepartementet</t>
  </si>
  <si>
    <t>Økonomi</t>
  </si>
  <si>
    <t>Sum institutter som omfattes av finansieringsordningen</t>
  </si>
  <si>
    <t>Miljøinstitutter</t>
  </si>
  <si>
    <t>Samfunnsvitenskapelige institutter - utenfor finansieringsordningen</t>
  </si>
  <si>
    <t>Primærnæringsinstitutter - utenfor finansieringsordningen</t>
  </si>
  <si>
    <t>Teknisk-industrielle institutter - utenfor finansieringsordningen</t>
  </si>
  <si>
    <t>Offentlig forvaltning</t>
  </si>
  <si>
    <t>Frischsenteret</t>
  </si>
  <si>
    <t>NTNU Samfunnsforskning</t>
  </si>
  <si>
    <t>NERSC</t>
  </si>
  <si>
    <t>Områdenr</t>
  </si>
  <si>
    <t>Gjennomsnitt</t>
  </si>
  <si>
    <t>Antall nyetableringer</t>
  </si>
  <si>
    <t xml:space="preserve">Instituttforskere med utenlandsopphold </t>
  </si>
  <si>
    <t>Drifts-inntekter</t>
  </si>
  <si>
    <t>Utenlandske gjesteforskere ved instituttene</t>
  </si>
  <si>
    <t>Nyutdannede</t>
  </si>
  <si>
    <t>Annet forskningsmiljø</t>
  </si>
  <si>
    <t>NANSEN SENTER FOR MILJØ OG FJERNMÅLING</t>
  </si>
  <si>
    <t>Drifts-
resultat</t>
  </si>
  <si>
    <t>Andel av totale årsverk
Prosent</t>
  </si>
  <si>
    <t>Inntekter per årsverk totalt
Tusen kr</t>
  </si>
  <si>
    <t>Inntekter per forskerårsverk
Tusen kr</t>
  </si>
  <si>
    <t>Antall doktorgrader avlagt 
av instituttets ansatte</t>
  </si>
  <si>
    <t>Antall mastergradsstudenter med
arbeidsplass ved instituttet</t>
  </si>
  <si>
    <t>Mill kr</t>
  </si>
  <si>
    <t>Utland</t>
  </si>
  <si>
    <t>NIFU</t>
  </si>
  <si>
    <t>Veiledere for
doktorgradskandidater</t>
  </si>
  <si>
    <t>Veiledere for
mastergradskandidater</t>
  </si>
  <si>
    <t>Nasjonale oppdragsinntekter</t>
  </si>
  <si>
    <t xml:space="preserve"> </t>
  </si>
  <si>
    <t>herunder EU</t>
  </si>
  <si>
    <t>Driftsresultat</t>
  </si>
  <si>
    <t>Driftsresultat i prosent av driftsinntekter</t>
  </si>
  <si>
    <t>Driftsinntekter</t>
  </si>
  <si>
    <t>Forskere/ faglig pers.</t>
  </si>
  <si>
    <t>Herav kvinner</t>
  </si>
  <si>
    <t>Instituttets styre</t>
  </si>
  <si>
    <t>Forskningsledelse</t>
  </si>
  <si>
    <t>Andel kvinner av totale årsverk</t>
  </si>
  <si>
    <t>Andel kvinner av faglig personale (FoU-årsverk)</t>
  </si>
  <si>
    <t>Andel kvinner av blant ansatte med dr.grad</t>
  </si>
  <si>
    <t>Andel kvinner, %</t>
  </si>
  <si>
    <t>Andel kvinner</t>
  </si>
  <si>
    <t>Off. virksom-het</t>
  </si>
  <si>
    <t>Annet</t>
  </si>
  <si>
    <t>Forskere ansatt i hovedstilling ved instituttet med bistilling i:</t>
  </si>
  <si>
    <t>Forskere ansatt i hovedstiling ved instituttet med arbeidsplass i:</t>
  </si>
  <si>
    <t>Arbeid utført i bistilling ved instituttet av forskere med hovedstilling i:</t>
  </si>
  <si>
    <t>Arbeid utført med arbeidsplass ved instituttet av forskere med hovedstilling i:</t>
  </si>
  <si>
    <t>Sum institutter utenfor finansieringsordningen</t>
  </si>
  <si>
    <t>Instituttledelse</t>
  </si>
  <si>
    <t>SINTEF Energi</t>
  </si>
  <si>
    <t>TELEMARKSFORSKING</t>
  </si>
  <si>
    <t>NIFU - NORDISK INSTITUTT FOR STUDIER AV  INNOVASJON, FORSKNING OG UTDANNING</t>
  </si>
  <si>
    <t>Stiftelsen Frischsenteret for samfunnsøkonomisk forskning</t>
  </si>
  <si>
    <t>Kunnskapsdepartementet/Utenriksdepartementet</t>
  </si>
  <si>
    <t>Forhåndstall</t>
  </si>
  <si>
    <t>Ressurser - personale</t>
  </si>
  <si>
    <t>Resultater</t>
  </si>
  <si>
    <t>1) Avlagte doktorgrader med minst 50% instituttbidrag</t>
  </si>
  <si>
    <t>2) Årsverk utført av forskere og faglige</t>
  </si>
  <si>
    <t>Publikasjonspoeng per forskerårsverk</t>
  </si>
  <si>
    <t>Institutter utenfor finansieringsordningen</t>
  </si>
  <si>
    <t>Nærings- og fiskeridepartementet</t>
  </si>
  <si>
    <t>0 - 500</t>
  </si>
  <si>
    <t>2001 - 5000</t>
  </si>
  <si>
    <t>&gt; 5001</t>
  </si>
  <si>
    <t>Beløp (mill kr)</t>
  </si>
  <si>
    <t>Miljøinstitutter - utenforfinansieringsordningen</t>
  </si>
  <si>
    <t>Oppdragsinntekter fra Norges forskningsråd inngår i Offentlig forvaltning</t>
  </si>
  <si>
    <t>Nasjonale bidragsinntekter</t>
  </si>
  <si>
    <t>Nasjonale oppdrags-inntekter</t>
  </si>
  <si>
    <t>F.rådets andel av totale drifts-inntekter</t>
  </si>
  <si>
    <t>Nasjonale bidrags-inntekter</t>
  </si>
  <si>
    <t>Norges forskningsråd omfatter både basis, bidrags- og oppdragsinntekter, dvs alle inntekter</t>
  </si>
  <si>
    <t>Driftsinntekter per årsverk</t>
  </si>
  <si>
    <t>Driftsinntekter per forskerårsverk</t>
  </si>
  <si>
    <t>Instituttets direktør</t>
  </si>
  <si>
    <t>Grunn-
bevilgning</t>
  </si>
  <si>
    <t>Forvaltnings - oppgaver</t>
  </si>
  <si>
    <t>Øvrige inntekter fra driften</t>
  </si>
  <si>
    <t>Totale inntekter</t>
  </si>
  <si>
    <t>Nivå 1</t>
  </si>
  <si>
    <t>Nivå 2</t>
  </si>
  <si>
    <t>NIBIO</t>
  </si>
  <si>
    <t>1000 kr</t>
  </si>
  <si>
    <t>Telemarksforsking</t>
  </si>
  <si>
    <t xml:space="preserve">Klima- og miljødepartementet </t>
  </si>
  <si>
    <t xml:space="preserve">Teknisk-industrielle institutter </t>
  </si>
  <si>
    <t>Sum institutter som ikke er omfattet av finansieringsordningen</t>
  </si>
  <si>
    <t>NORSK INSTITUTT FOR BIOØKONOMI</t>
  </si>
  <si>
    <t>INSTITUTT FOR RURAL- OG REGIONALFORSKNING</t>
  </si>
  <si>
    <t>RURALIS</t>
  </si>
  <si>
    <t>Nordiske institusjoner</t>
  </si>
  <si>
    <t>Strategiske institutt-satsinger</t>
  </si>
  <si>
    <t>Publikasjons-poeng per forsker-årsverk2)</t>
  </si>
  <si>
    <t>Avlagte doktor-grader1)</t>
  </si>
  <si>
    <t>Inter-nasjonale inntekter</t>
  </si>
  <si>
    <t>SINTEF Ocean</t>
  </si>
  <si>
    <t>Publikasjonspoeng</t>
  </si>
  <si>
    <t>Antall
avlagte doktorgrader med over 50% instituttbidrag</t>
  </si>
  <si>
    <r>
      <t>Gjennomsnitt per forskerårsverk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</si>
  <si>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Årsverk utført av forskere og faglig personale</t>
    </r>
  </si>
  <si>
    <t>SINTEF Manufacturing AS</t>
  </si>
  <si>
    <t>SINTEF Narvik AS</t>
  </si>
  <si>
    <t>NORCE Samfunn</t>
  </si>
  <si>
    <t>Norce miljø</t>
  </si>
  <si>
    <t>Grunnbevilgning</t>
  </si>
  <si>
    <t>Grunn-finansiering</t>
  </si>
  <si>
    <t>Ekstrordinær grunnbevilgning</t>
  </si>
  <si>
    <t>Grunn-
finansiering</t>
  </si>
  <si>
    <t>Grunnfinansiering</t>
  </si>
  <si>
    <t>Grunnfinansiering per forskerårsverk</t>
  </si>
  <si>
    <t>Grunnfinansiering som andel av driftsinntekter</t>
  </si>
  <si>
    <t>Doktorgradsstudenter med arbeidsplass ved instituttet</t>
  </si>
  <si>
    <t>NORCE</t>
  </si>
  <si>
    <t>NORCE (MILJØ ARENA)</t>
  </si>
  <si>
    <t>SINTEF (PRIMÆR)</t>
  </si>
  <si>
    <t>SINTEF (Samfunnsvitenskapelig arena)</t>
  </si>
  <si>
    <t xml:space="preserve">NORSUS  </t>
  </si>
  <si>
    <t>NORCE (Samfunnsvitenskapelig arena)</t>
  </si>
  <si>
    <t>SINTEF konsernet består av følgende institutter:</t>
  </si>
  <si>
    <t>SINTEF AS</t>
  </si>
  <si>
    <t>SINTEF (Teknisk industriell arena)</t>
  </si>
  <si>
    <t>For NORCE er tall for styre og instituttledelse korriget for dobbeltrapporteringer for de tre NORCE-instituttene</t>
  </si>
  <si>
    <t>Egenkapital og gjeld</t>
  </si>
  <si>
    <t>Egenkapital</t>
  </si>
  <si>
    <t>Gjeld</t>
  </si>
  <si>
    <t>Sum egenkapital og gjeld</t>
  </si>
  <si>
    <t>Samfunnsvitenskapelige institutter*</t>
  </si>
  <si>
    <r>
      <t>Finans-inntekter m.m</t>
    </r>
    <r>
      <rPr>
        <vertAlign val="superscript"/>
        <sz val="8"/>
        <rFont val="Arial"/>
        <family val="2"/>
      </rPr>
      <t>1)</t>
    </r>
  </si>
  <si>
    <t>RISE PFI</t>
  </si>
  <si>
    <t>Tall for instituttets direktører inngår i samtlige instituttenheter. For SINTEF og Norce som er på flere arenaer, er direktørene her henført til teknisk-industriell arena.</t>
  </si>
  <si>
    <t>RISE PFI AS</t>
  </si>
  <si>
    <t>Retur-EU</t>
  </si>
  <si>
    <t>Grunnbevilgning fra Norges Forskningsråd</t>
  </si>
  <si>
    <t>Grunnbevilgning direkte fra departement/utenfor retningslinjene</t>
  </si>
  <si>
    <t>Grunnbevilgning fra Norges forskningsråd</t>
  </si>
  <si>
    <t>Grunn-bevilgning</t>
  </si>
  <si>
    <t>Nøkkeltall for forskningsinstitutter 2023</t>
  </si>
  <si>
    <t>Instituttoversikt 2023</t>
  </si>
  <si>
    <t>Tabell 1 Hovedtall for forskningsinstitutter 2023</t>
  </si>
  <si>
    <t>Tabell 2 Inntekter i 2023 etter finansieringstype. Mill. kr</t>
  </si>
  <si>
    <t>Tabell 2b Inntekter i 2023 etter finansieringstype. Mill. kr</t>
  </si>
  <si>
    <t>Tabell 12 Årsverk utført ved instituttet og ved annen institusjon, bistillinger og arbeidsplass 2023</t>
  </si>
  <si>
    <t>Tabell 13 Likestilling - Instituttets styre, instituttledelse og forskningsledelse i 2023</t>
  </si>
  <si>
    <t>Tabell 17 Veiledning av master og doktorgradsstudenter 2023</t>
  </si>
  <si>
    <t>Tabell 18 Utenlandske gjesteforskere ved instituttet og instituttforskere med utenlandsopphold 2023</t>
  </si>
  <si>
    <t>Tabell 21 Egenkapital og gjeld. 2023. Mill. kroner.</t>
  </si>
  <si>
    <t>Tabell 19 Anslått fordeling av totalt antall nye prosjekter fordelt etter prosjektstørrelse 2021-2023. Antall prosjekter og mill. kr.</t>
  </si>
  <si>
    <t>Tabell 3 Driftsinntekter og driftsresultat 2019-2023</t>
  </si>
  <si>
    <t>Tabell 4 Grunnbevilgning og grunnbevilgning per forskerårsverk 2019-2023</t>
  </si>
  <si>
    <t>Tabell 5 Totale driftsinntekter etter finansieringskilde og områdetilknytning 2019 - 2023</t>
  </si>
  <si>
    <t>Tabell 7 Inntekter fra utlandet etter finansieringskilde og områdetilknytning i 2019-2023</t>
  </si>
  <si>
    <t>Tabell 8 Driftsinntekter per totale årsverk og per forskerårsverk 2019-2023. 1000 kr</t>
  </si>
  <si>
    <t>Tabell 9 Totale årsverk, årsverk utført av forskere/faglig personale etter kjønn og områdetilknytning. 2019-2023.</t>
  </si>
  <si>
    <t>Tabell 10 Antall ansatte med doktorgrad etter kjønn og områdetilknytning. 2019-2023</t>
  </si>
  <si>
    <t>Tabell 11 Antall avlagte doktorgrader der institutttet har bidratt med veiledning og antall avlagte av instituttets egne forskere. 2019-2023</t>
  </si>
  <si>
    <t>Tabell 14 Vitenskapelig publisering etter type og nivå. 2019-2023. Antall publikasjoner</t>
  </si>
  <si>
    <t>Tabell 15 Publikasjonspoeng og poeng per årsverk utført av forskere/faglig personale. 2019-2023</t>
  </si>
  <si>
    <t>Tabell 16 Avgang og tilvekst av forskere/faglig personale. 2019-2023.</t>
  </si>
  <si>
    <t>Tabell 20 Nyetableringer, lisenser og patenter. 2019-2023</t>
  </si>
  <si>
    <t>Tall for NORCE inngår kun forde teknisk-industrielle instituttene</t>
  </si>
  <si>
    <t xml:space="preserve">Grunnfinansiering omfatter ordinær grunnbevilnging, strategiske instituttsatsinger og RETUR-EU-midler. </t>
  </si>
  <si>
    <t>Tabell 5b. Totale driftsinntekter etter finansieringskilde og områdetilknytning 2019 - 2023. Andeler</t>
  </si>
  <si>
    <t>Tabell 6 Nasjonale oppdragsinntekter etter finansieringskilde og områdetilknytning 2021 - 2023</t>
  </si>
  <si>
    <t>Egenkapitalandel. 2019-2023. Prosent</t>
  </si>
  <si>
    <t>Egenkapital per instituttgruppe. 2019-2023. Mill. kroner.</t>
  </si>
  <si>
    <t>Tall for NORCE inngår kun for de teknisk-industrielle instituttene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</si>
</sst>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0.0"/>
    <numFmt numFmtId="166" formatCode="0;\-0;"/>
    <numFmt numFmtId="167" formatCode="0.0,"/>
    <numFmt numFmtId="168" formatCode="0.000"/>
    <numFmt numFmtId="169" formatCode="#\ ###\ ##0;\-#\ ###\ ##0;"/>
    <numFmt numFmtId="170" formatCode="#\ ###\ ##0"/>
    <numFmt numFmtId="171" formatCode="#,##0.0,"/>
    <numFmt numFmtId="172" formatCode="#,##0,"/>
    <numFmt numFmtId="173" formatCode="#,##0.0"/>
    <numFmt numFmtId="174" formatCode="#,##0.000,"/>
    <numFmt numFmtId="175" formatCode="_ * #,##0_ ;_ * \-#,##0_ ;_ * &quot;-&quot;??_ ;_ @_ "/>
    <numFmt numFmtId="176" formatCode="0.0\ %"/>
    <numFmt numFmtId="177" formatCode="_-* #,##0_-;\-* #,##0_-;_-* &quot;-&quot;??_-;_-@_-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.5"/>
      <name val="Helv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0"/>
      <color theme="0" tint="-0.14999847407452621"/>
      <name val="Calibri"/>
      <family val="2"/>
      <scheme val="minor"/>
    </font>
    <font>
      <sz val="8"/>
      <color rgb="FF000000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8.5"/>
      <name val="Arial"/>
      <family val="2"/>
    </font>
    <font>
      <i/>
      <sz val="8.5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vertAlign val="superscript"/>
      <sz val="8"/>
      <name val="Arial"/>
      <family val="2"/>
    </font>
    <font>
      <sz val="10"/>
      <color theme="0" tint="-0.14999847407452621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8C4C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9" fontId="3" fillId="0" borderId="0" applyFont="0" applyFill="0" applyBorder="0" applyAlignment="0" applyProtection="0"/>
    <xf numFmtId="0" fontId="8" fillId="0" borderId="0"/>
    <xf numFmtId="164" fontId="12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0" fontId="5" fillId="0" borderId="0"/>
    <xf numFmtId="0" fontId="17" fillId="0" borderId="0"/>
    <xf numFmtId="164" fontId="17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86">
    <xf numFmtId="0" fontId="0" fillId="0" borderId="0" xfId="0"/>
    <xf numFmtId="0" fontId="10" fillId="0" borderId="0" xfId="10" applyFont="1"/>
    <xf numFmtId="0" fontId="9" fillId="0" borderId="0" xfId="10" applyFont="1"/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6" fillId="7" borderId="0" xfId="0" applyFont="1" applyFill="1" applyAlignment="1">
      <alignment wrapText="1"/>
    </xf>
    <xf numFmtId="0" fontId="11" fillId="6" borderId="3" xfId="0" applyFont="1" applyFill="1" applyBorder="1" applyAlignment="1">
      <alignment wrapText="1"/>
    </xf>
    <xf numFmtId="0" fontId="11" fillId="6" borderId="3" xfId="0" applyFont="1" applyFill="1" applyBorder="1" applyAlignment="1">
      <alignment horizontal="center" wrapText="1"/>
    </xf>
    <xf numFmtId="0" fontId="6" fillId="0" borderId="0" xfId="0" applyFont="1" applyAlignment="1">
      <alignment horizontal="right" indent="2"/>
    </xf>
    <xf numFmtId="0" fontId="6" fillId="0" borderId="0" xfId="0" applyFont="1"/>
    <xf numFmtId="0" fontId="6" fillId="4" borderId="2" xfId="0" applyFont="1" applyFill="1" applyBorder="1"/>
    <xf numFmtId="0" fontId="3" fillId="0" borderId="0" xfId="0" applyFont="1"/>
    <xf numFmtId="165" fontId="11" fillId="6" borderId="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indent="2"/>
    </xf>
    <xf numFmtId="0" fontId="13" fillId="0" borderId="0" xfId="10" applyFont="1"/>
    <xf numFmtId="0" fontId="14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167" fontId="6" fillId="0" borderId="0" xfId="0" applyNumberFormat="1" applyFont="1"/>
    <xf numFmtId="0" fontId="16" fillId="0" borderId="0" xfId="0" applyFont="1" applyAlignment="1">
      <alignment horizontal="center"/>
    </xf>
    <xf numFmtId="0" fontId="6" fillId="6" borderId="2" xfId="0" applyFont="1" applyFill="1" applyBorder="1"/>
    <xf numFmtId="0" fontId="6" fillId="6" borderId="3" xfId="0" applyFont="1" applyFill="1" applyBorder="1" applyAlignment="1">
      <alignment horizontal="center"/>
    </xf>
    <xf numFmtId="0" fontId="11" fillId="7" borderId="2" xfId="0" applyFont="1" applyFill="1" applyBorder="1"/>
    <xf numFmtId="0" fontId="11" fillId="7" borderId="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0" fontId="11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/>
    <xf numFmtId="167" fontId="20" fillId="0" borderId="0" xfId="0" applyNumberFormat="1" applyFont="1" applyAlignment="1">
      <alignment horizontal="center"/>
    </xf>
    <xf numFmtId="0" fontId="20" fillId="0" borderId="0" xfId="0" applyFont="1"/>
    <xf numFmtId="0" fontId="21" fillId="0" borderId="0" xfId="0" applyFont="1"/>
    <xf numFmtId="167" fontId="6" fillId="0" borderId="2" xfId="0" applyNumberFormat="1" applyFont="1" applyBorder="1"/>
    <xf numFmtId="167" fontId="6" fillId="0" borderId="2" xfId="0" applyNumberFormat="1" applyFont="1" applyBorder="1" applyAlignment="1">
      <alignment horizontal="center"/>
    </xf>
    <xf numFmtId="167" fontId="20" fillId="0" borderId="0" xfId="0" applyNumberFormat="1" applyFont="1"/>
    <xf numFmtId="0" fontId="11" fillId="6" borderId="2" xfId="0" applyFont="1" applyFill="1" applyBorder="1"/>
    <xf numFmtId="0" fontId="3" fillId="0" borderId="0" xfId="10"/>
    <xf numFmtId="0" fontId="3" fillId="0" borderId="0" xfId="1" applyFont="1" applyBorder="1" applyAlignment="1" applyProtection="1"/>
    <xf numFmtId="0" fontId="3" fillId="0" borderId="0" xfId="1" applyFont="1" applyAlignment="1" applyProtection="1"/>
    <xf numFmtId="165" fontId="3" fillId="0" borderId="0" xfId="6" applyNumberFormat="1" applyFont="1" applyAlignment="1">
      <alignment horizontal="left"/>
    </xf>
    <xf numFmtId="0" fontId="16" fillId="0" borderId="0" xfId="0" quotePrefix="1" applyFont="1" applyAlignment="1">
      <alignment horizontal="left"/>
    </xf>
    <xf numFmtId="165" fontId="16" fillId="0" borderId="0" xfId="0" applyNumberFormat="1" applyFont="1" applyAlignment="1">
      <alignment horizontal="left"/>
    </xf>
    <xf numFmtId="0" fontId="22" fillId="0" borderId="0" xfId="17" applyFont="1"/>
    <xf numFmtId="0" fontId="23" fillId="0" borderId="0" xfId="17" applyFont="1"/>
    <xf numFmtId="172" fontId="24" fillId="2" borderId="0" xfId="11" applyNumberFormat="1" applyFont="1" applyFill="1"/>
    <xf numFmtId="0" fontId="15" fillId="0" borderId="0" xfId="17" applyFont="1"/>
    <xf numFmtId="0" fontId="11" fillId="0" borderId="0" xfId="11" applyFont="1" applyAlignment="1">
      <alignment wrapText="1"/>
    </xf>
    <xf numFmtId="0" fontId="3" fillId="0" borderId="0" xfId="0" applyFont="1" applyAlignment="1">
      <alignment wrapText="1"/>
    </xf>
    <xf numFmtId="0" fontId="19" fillId="0" borderId="0" xfId="17" applyFont="1"/>
    <xf numFmtId="0" fontId="11" fillId="6" borderId="3" xfId="0" applyFont="1" applyFill="1" applyBorder="1"/>
    <xf numFmtId="0" fontId="25" fillId="6" borderId="3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11" fillId="7" borderId="0" xfId="0" applyFont="1" applyFill="1"/>
    <xf numFmtId="0" fontId="6" fillId="7" borderId="0" xfId="0" applyFont="1" applyFill="1" applyAlignment="1">
      <alignment horizontal="center" wrapText="1"/>
    </xf>
    <xf numFmtId="0" fontId="27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172" fontId="6" fillId="0" borderId="0" xfId="4" applyNumberFormat="1" applyFont="1" applyAlignment="1">
      <alignment horizontal="right" indent="2"/>
    </xf>
    <xf numFmtId="171" fontId="6" fillId="0" borderId="0" xfId="4" applyNumberFormat="1" applyFont="1" applyAlignment="1">
      <alignment horizontal="right" indent="2"/>
    </xf>
    <xf numFmtId="172" fontId="27" fillId="0" borderId="0" xfId="4" applyNumberFormat="1" applyFont="1" applyAlignment="1">
      <alignment horizontal="right" indent="2"/>
    </xf>
    <xf numFmtId="9" fontId="6" fillId="0" borderId="0" xfId="16" applyFont="1" applyFill="1" applyBorder="1" applyAlignment="1">
      <alignment horizontal="right" indent="2"/>
    </xf>
    <xf numFmtId="175" fontId="6" fillId="0" borderId="0" xfId="18" applyNumberFormat="1" applyFont="1" applyFill="1" applyBorder="1" applyAlignment="1"/>
    <xf numFmtId="2" fontId="6" fillId="0" borderId="0" xfId="4" applyNumberFormat="1" applyFont="1" applyAlignment="1">
      <alignment horizontal="center"/>
    </xf>
    <xf numFmtId="0" fontId="6" fillId="4" borderId="2" xfId="0" applyFont="1" applyFill="1" applyBorder="1" applyAlignment="1">
      <alignment horizontal="left"/>
    </xf>
    <xf numFmtId="172" fontId="6" fillId="4" borderId="2" xfId="0" applyNumberFormat="1" applyFont="1" applyFill="1" applyBorder="1" applyAlignment="1">
      <alignment horizontal="right" indent="2"/>
    </xf>
    <xf numFmtId="165" fontId="6" fillId="4" borderId="2" xfId="0" applyNumberFormat="1" applyFont="1" applyFill="1" applyBorder="1" applyAlignment="1">
      <alignment horizontal="right" indent="2"/>
    </xf>
    <xf numFmtId="172" fontId="27" fillId="4" borderId="2" xfId="0" applyNumberFormat="1" applyFont="1" applyFill="1" applyBorder="1" applyAlignment="1">
      <alignment horizontal="right" indent="2"/>
    </xf>
    <xf numFmtId="9" fontId="6" fillId="4" borderId="2" xfId="16" applyFont="1" applyFill="1" applyBorder="1" applyAlignment="1">
      <alignment horizontal="right" indent="2"/>
    </xf>
    <xf numFmtId="175" fontId="6" fillId="4" borderId="2" xfId="18" applyNumberFormat="1" applyFont="1" applyFill="1" applyBorder="1" applyAlignment="1"/>
    <xf numFmtId="2" fontId="6" fillId="4" borderId="2" xfId="18" applyNumberFormat="1" applyFont="1" applyFill="1" applyBorder="1" applyAlignment="1">
      <alignment horizontal="center"/>
    </xf>
    <xf numFmtId="172" fontId="15" fillId="0" borderId="0" xfId="17" applyNumberFormat="1" applyFont="1"/>
    <xf numFmtId="0" fontId="6" fillId="2" borderId="0" xfId="0" applyFont="1" applyFill="1" applyAlignment="1">
      <alignment horizontal="left"/>
    </xf>
    <xf numFmtId="172" fontId="6" fillId="2" borderId="0" xfId="0" applyNumberFormat="1" applyFont="1" applyFill="1" applyAlignment="1">
      <alignment horizontal="right" indent="2"/>
    </xf>
    <xf numFmtId="165" fontId="6" fillId="2" borderId="0" xfId="0" applyNumberFormat="1" applyFont="1" applyFill="1" applyAlignment="1">
      <alignment horizontal="right" indent="2"/>
    </xf>
    <xf numFmtId="172" fontId="27" fillId="2" borderId="0" xfId="0" applyNumberFormat="1" applyFont="1" applyFill="1" applyAlignment="1">
      <alignment horizontal="right" indent="2"/>
    </xf>
    <xf numFmtId="175" fontId="6" fillId="2" borderId="0" xfId="18" applyNumberFormat="1" applyFont="1" applyFill="1" applyBorder="1" applyAlignment="1"/>
    <xf numFmtId="2" fontId="6" fillId="2" borderId="0" xfId="18" applyNumberFormat="1" applyFont="1" applyFill="1" applyBorder="1" applyAlignment="1">
      <alignment horizontal="center"/>
    </xf>
    <xf numFmtId="0" fontId="15" fillId="2" borderId="0" xfId="17" applyFont="1" applyFill="1"/>
    <xf numFmtId="0" fontId="6" fillId="2" borderId="3" xfId="0" applyFont="1" applyFill="1" applyBorder="1" applyAlignment="1">
      <alignment horizontal="left"/>
    </xf>
    <xf numFmtId="172" fontId="6" fillId="2" borderId="3" xfId="0" applyNumberFormat="1" applyFont="1" applyFill="1" applyBorder="1" applyAlignment="1">
      <alignment horizontal="right" indent="2"/>
    </xf>
    <xf numFmtId="165" fontId="6" fillId="2" borderId="3" xfId="0" applyNumberFormat="1" applyFont="1" applyFill="1" applyBorder="1" applyAlignment="1">
      <alignment horizontal="right" indent="2"/>
    </xf>
    <xf numFmtId="172" fontId="27" fillId="2" borderId="3" xfId="0" applyNumberFormat="1" applyFont="1" applyFill="1" applyBorder="1" applyAlignment="1">
      <alignment horizontal="right" indent="2"/>
    </xf>
    <xf numFmtId="1" fontId="6" fillId="4" borderId="2" xfId="0" applyNumberFormat="1" applyFont="1" applyFill="1" applyBorder="1"/>
    <xf numFmtId="2" fontId="6" fillId="4" borderId="2" xfId="0" applyNumberFormat="1" applyFont="1" applyFill="1" applyBorder="1" applyAlignment="1">
      <alignment horizontal="center"/>
    </xf>
    <xf numFmtId="0" fontId="11" fillId="0" borderId="0" xfId="11" applyFont="1" applyAlignment="1">
      <alignment horizontal="right" indent="2"/>
    </xf>
    <xf numFmtId="0" fontId="27" fillId="0" borderId="0" xfId="0" applyFont="1" applyAlignment="1">
      <alignment horizontal="left"/>
    </xf>
    <xf numFmtId="9" fontId="27" fillId="0" borderId="0" xfId="16" applyFont="1" applyFill="1" applyBorder="1" applyAlignment="1">
      <alignment horizontal="left"/>
    </xf>
    <xf numFmtId="172" fontId="11" fillId="0" borderId="0" xfId="11" applyNumberFormat="1" applyFont="1"/>
    <xf numFmtId="0" fontId="11" fillId="0" borderId="0" xfId="11" applyFont="1"/>
    <xf numFmtId="0" fontId="16" fillId="0" borderId="0" xfId="11" applyFont="1"/>
    <xf numFmtId="0" fontId="11" fillId="6" borderId="2" xfId="0" applyFont="1" applyFill="1" applyBorder="1" applyAlignment="1">
      <alignment wrapText="1"/>
    </xf>
    <xf numFmtId="0" fontId="11" fillId="6" borderId="0" xfId="0" applyFont="1" applyFill="1" applyAlignment="1">
      <alignment wrapText="1"/>
    </xf>
    <xf numFmtId="0" fontId="11" fillId="0" borderId="0" xfId="11" applyFont="1" applyAlignment="1">
      <alignment horizontal="center" wrapText="1"/>
    </xf>
    <xf numFmtId="0" fontId="11" fillId="7" borderId="0" xfId="0" applyFont="1" applyFill="1" applyAlignment="1">
      <alignment horizontal="right" wrapText="1"/>
    </xf>
    <xf numFmtId="0" fontId="6" fillId="0" borderId="0" xfId="11" applyFont="1" applyAlignment="1">
      <alignment horizontal="center" wrapText="1"/>
    </xf>
    <xf numFmtId="0" fontId="6" fillId="0" borderId="0" xfId="11" applyFont="1" applyAlignment="1">
      <alignment wrapText="1"/>
    </xf>
    <xf numFmtId="0" fontId="11" fillId="0" borderId="0" xfId="11" applyFont="1" applyAlignment="1">
      <alignment horizontal="center"/>
    </xf>
    <xf numFmtId="172" fontId="6" fillId="0" borderId="0" xfId="4" applyNumberFormat="1" applyFont="1"/>
    <xf numFmtId="171" fontId="6" fillId="0" borderId="0" xfId="4" applyNumberFormat="1" applyFont="1"/>
    <xf numFmtId="9" fontId="11" fillId="0" borderId="0" xfId="16" applyFont="1" applyAlignment="1"/>
    <xf numFmtId="176" fontId="6" fillId="0" borderId="0" xfId="16" applyNumberFormat="1" applyFont="1" applyAlignment="1"/>
    <xf numFmtId="172" fontId="6" fillId="2" borderId="0" xfId="4" applyNumberFormat="1" applyFont="1" applyFill="1"/>
    <xf numFmtId="172" fontId="6" fillId="4" borderId="2" xfId="0" applyNumberFormat="1" applyFont="1" applyFill="1" applyBorder="1"/>
    <xf numFmtId="9" fontId="11" fillId="4" borderId="2" xfId="16" applyFont="1" applyFill="1" applyBorder="1" applyAlignment="1"/>
    <xf numFmtId="176" fontId="6" fillId="4" borderId="2" xfId="16" applyNumberFormat="1" applyFont="1" applyFill="1" applyBorder="1" applyAlignment="1"/>
    <xf numFmtId="0" fontId="11" fillId="0" borderId="0" xfId="11" applyFont="1" applyAlignment="1">
      <alignment horizontal="right"/>
    </xf>
    <xf numFmtId="171" fontId="11" fillId="0" borderId="0" xfId="16" applyNumberFormat="1" applyFont="1" applyAlignment="1"/>
    <xf numFmtId="171" fontId="11" fillId="0" borderId="0" xfId="16" applyNumberFormat="1" applyFont="1" applyFill="1" applyAlignment="1"/>
    <xf numFmtId="165" fontId="6" fillId="0" borderId="0" xfId="11" applyNumberFormat="1" applyFont="1"/>
    <xf numFmtId="0" fontId="6" fillId="4" borderId="4" xfId="0" applyFont="1" applyFill="1" applyBorder="1" applyAlignment="1">
      <alignment horizontal="left"/>
    </xf>
    <xf numFmtId="172" fontId="6" fillId="4" borderId="4" xfId="0" applyNumberFormat="1" applyFont="1" applyFill="1" applyBorder="1"/>
    <xf numFmtId="9" fontId="11" fillId="0" borderId="0" xfId="16" applyFont="1"/>
    <xf numFmtId="0" fontId="6" fillId="0" borderId="0" xfId="11" applyFont="1"/>
    <xf numFmtId="0" fontId="3" fillId="0" borderId="0" xfId="14" applyFont="1"/>
    <xf numFmtId="0" fontId="3" fillId="2" borderId="0" xfId="0" applyFont="1" applyFill="1"/>
    <xf numFmtId="165" fontId="16" fillId="0" borderId="0" xfId="6" quotePrefix="1" applyNumberFormat="1" applyFont="1" applyAlignment="1">
      <alignment horizontal="left"/>
    </xf>
    <xf numFmtId="165" fontId="16" fillId="0" borderId="0" xfId="6" applyNumberFormat="1" applyFont="1" applyAlignment="1">
      <alignment horizontal="left"/>
    </xf>
    <xf numFmtId="165" fontId="16" fillId="0" borderId="0" xfId="6" quotePrefix="1" applyNumberFormat="1" applyFont="1" applyAlignment="1">
      <alignment horizontal="left" wrapText="1"/>
    </xf>
    <xf numFmtId="165" fontId="16" fillId="0" borderId="0" xfId="6" applyNumberFormat="1" applyFont="1" applyAlignment="1">
      <alignment horizontal="left" wrapText="1"/>
    </xf>
    <xf numFmtId="165" fontId="11" fillId="6" borderId="3" xfId="6" quotePrefix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2" fontId="6" fillId="0" borderId="0" xfId="17" applyNumberFormat="1" applyFont="1" applyAlignment="1">
      <alignment horizontal="right" indent="2"/>
    </xf>
    <xf numFmtId="1" fontId="6" fillId="0" borderId="0" xfId="0" applyNumberFormat="1" applyFont="1" applyAlignment="1">
      <alignment horizontal="right" indent="2"/>
    </xf>
    <xf numFmtId="172" fontId="6" fillId="4" borderId="4" xfId="0" applyNumberFormat="1" applyFont="1" applyFill="1" applyBorder="1" applyAlignment="1">
      <alignment horizontal="right" indent="2"/>
    </xf>
    <xf numFmtId="1" fontId="6" fillId="4" borderId="4" xfId="0" applyNumberFormat="1" applyFont="1" applyFill="1" applyBorder="1" applyAlignment="1">
      <alignment horizontal="right" indent="2"/>
    </xf>
    <xf numFmtId="172" fontId="6" fillId="4" borderId="2" xfId="17" applyNumberFormat="1" applyFont="1" applyFill="1" applyBorder="1" applyAlignment="1">
      <alignment horizontal="right" indent="2"/>
    </xf>
    <xf numFmtId="1" fontId="6" fillId="4" borderId="2" xfId="0" applyNumberFormat="1" applyFont="1" applyFill="1" applyBorder="1" applyAlignment="1">
      <alignment horizontal="center"/>
    </xf>
    <xf numFmtId="0" fontId="28" fillId="0" borderId="0" xfId="0" applyFont="1"/>
    <xf numFmtId="165" fontId="11" fillId="6" borderId="2" xfId="6" applyNumberFormat="1" applyFont="1" applyFill="1" applyBorder="1" applyAlignment="1">
      <alignment horizontal="center" wrapText="1"/>
    </xf>
    <xf numFmtId="165" fontId="11" fillId="6" borderId="2" xfId="6" quotePrefix="1" applyNumberFormat="1" applyFont="1" applyFill="1" applyBorder="1" applyAlignment="1">
      <alignment horizontal="center" wrapText="1"/>
    </xf>
    <xf numFmtId="165" fontId="6" fillId="7" borderId="2" xfId="6" applyNumberFormat="1" applyFont="1" applyFill="1" applyBorder="1" applyAlignment="1">
      <alignment horizontal="center" wrapText="1"/>
    </xf>
    <xf numFmtId="172" fontId="6" fillId="0" borderId="0" xfId="0" applyNumberFormat="1" applyFont="1" applyAlignment="1">
      <alignment horizontal="right" indent="2"/>
    </xf>
    <xf numFmtId="172" fontId="3" fillId="0" borderId="0" xfId="0" applyNumberFormat="1" applyFont="1" applyAlignment="1">
      <alignment horizontal="right" indent="2"/>
    </xf>
    <xf numFmtId="172" fontId="6" fillId="2" borderId="0" xfId="17" applyNumberFormat="1" applyFont="1" applyFill="1" applyAlignment="1">
      <alignment horizontal="right" indent="2"/>
    </xf>
    <xf numFmtId="0" fontId="3" fillId="0" borderId="5" xfId="0" applyFont="1" applyBorder="1"/>
    <xf numFmtId="172" fontId="6" fillId="0" borderId="5" xfId="0" applyNumberFormat="1" applyFont="1" applyBorder="1" applyAlignment="1">
      <alignment horizontal="right" indent="2"/>
    </xf>
    <xf numFmtId="0" fontId="6" fillId="5" borderId="4" xfId="0" applyFont="1" applyFill="1" applyBorder="1" applyAlignment="1">
      <alignment horizontal="left"/>
    </xf>
    <xf numFmtId="172" fontId="6" fillId="4" borderId="6" xfId="0" applyNumberFormat="1" applyFont="1" applyFill="1" applyBorder="1" applyAlignment="1">
      <alignment horizontal="right" indent="2"/>
    </xf>
    <xf numFmtId="172" fontId="6" fillId="3" borderId="0" xfId="0" applyNumberFormat="1" applyFont="1" applyFill="1" applyAlignment="1">
      <alignment horizontal="right" indent="2"/>
    </xf>
    <xf numFmtId="174" fontId="3" fillId="0" borderId="0" xfId="0" applyNumberFormat="1" applyFont="1" applyAlignment="1">
      <alignment horizontal="right" indent="2"/>
    </xf>
    <xf numFmtId="9" fontId="6" fillId="0" borderId="0" xfId="16" applyFont="1" applyFill="1" applyBorder="1" applyAlignment="1">
      <alignment horizontal="center"/>
    </xf>
    <xf numFmtId="9" fontId="6" fillId="4" borderId="4" xfId="16" applyFont="1" applyFill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4" borderId="6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center" wrapText="1"/>
    </xf>
    <xf numFmtId="0" fontId="16" fillId="0" borderId="0" xfId="8" applyFont="1"/>
    <xf numFmtId="12" fontId="16" fillId="0" borderId="0" xfId="0" applyNumberFormat="1" applyFont="1"/>
    <xf numFmtId="167" fontId="16" fillId="0" borderId="0" xfId="8" applyNumberFormat="1" applyFont="1"/>
    <xf numFmtId="0" fontId="3" fillId="0" borderId="0" xfId="8" applyFont="1"/>
    <xf numFmtId="167" fontId="16" fillId="0" borderId="0" xfId="0" applyNumberFormat="1" applyFont="1"/>
    <xf numFmtId="165" fontId="16" fillId="0" borderId="0" xfId="8" applyNumberFormat="1" applyFont="1"/>
    <xf numFmtId="0" fontId="29" fillId="0" borderId="0" xfId="8" applyFont="1" applyAlignment="1">
      <alignment wrapText="1"/>
    </xf>
    <xf numFmtId="12" fontId="6" fillId="0" borderId="0" xfId="0" applyNumberFormat="1" applyFont="1" applyAlignment="1">
      <alignment wrapText="1"/>
    </xf>
    <xf numFmtId="167" fontId="29" fillId="0" borderId="0" xfId="8" applyNumberFormat="1" applyFont="1" applyAlignment="1">
      <alignment wrapText="1"/>
    </xf>
    <xf numFmtId="167" fontId="6" fillId="0" borderId="0" xfId="0" applyNumberFormat="1" applyFont="1" applyAlignment="1">
      <alignment wrapText="1"/>
    </xf>
    <xf numFmtId="165" fontId="6" fillId="0" borderId="0" xfId="8" applyNumberFormat="1" applyFont="1" applyAlignment="1">
      <alignment wrapText="1"/>
    </xf>
    <xf numFmtId="0" fontId="11" fillId="7" borderId="2" xfId="0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center" wrapText="1"/>
    </xf>
    <xf numFmtId="165" fontId="11" fillId="0" borderId="0" xfId="8" applyNumberFormat="1" applyFont="1" applyAlignment="1">
      <alignment horizontal="center" wrapText="1"/>
    </xf>
    <xf numFmtId="165" fontId="11" fillId="0" borderId="0" xfId="8" applyNumberFormat="1" applyFont="1" applyAlignment="1">
      <alignment wrapText="1"/>
    </xf>
    <xf numFmtId="167" fontId="6" fillId="0" borderId="0" xfId="0" applyNumberFormat="1" applyFont="1" applyAlignment="1">
      <alignment horizontal="right" indent="2"/>
    </xf>
    <xf numFmtId="165" fontId="11" fillId="0" borderId="0" xfId="8" applyNumberFormat="1" applyFont="1" applyAlignment="1">
      <alignment horizontal="right" indent="2"/>
    </xf>
    <xf numFmtId="165" fontId="11" fillId="0" borderId="0" xfId="8" applyNumberFormat="1" applyFont="1"/>
    <xf numFmtId="165" fontId="6" fillId="0" borderId="0" xfId="8" applyNumberFormat="1" applyFont="1" applyAlignment="1">
      <alignment horizontal="right" indent="2"/>
    </xf>
    <xf numFmtId="165" fontId="6" fillId="0" borderId="0" xfId="8" applyNumberFormat="1" applyFont="1"/>
    <xf numFmtId="0" fontId="11" fillId="7" borderId="1" xfId="0" applyFont="1" applyFill="1" applyBorder="1" applyAlignment="1">
      <alignment horizontal="right" wrapText="1"/>
    </xf>
    <xf numFmtId="0" fontId="6" fillId="7" borderId="1" xfId="0" applyFont="1" applyFill="1" applyBorder="1" applyAlignment="1">
      <alignment horizontal="right" wrapText="1"/>
    </xf>
    <xf numFmtId="1" fontId="6" fillId="0" borderId="0" xfId="4" applyNumberFormat="1" applyFont="1"/>
    <xf numFmtId="1" fontId="6" fillId="2" borderId="0" xfId="4" applyNumberFormat="1" applyFont="1" applyFill="1"/>
    <xf numFmtId="172" fontId="6" fillId="2" borderId="0" xfId="0" applyNumberFormat="1" applyFont="1" applyFill="1"/>
    <xf numFmtId="1" fontId="3" fillId="2" borderId="0" xfId="0" applyNumberFormat="1" applyFont="1" applyFill="1"/>
    <xf numFmtId="1" fontId="3" fillId="0" borderId="0" xfId="0" applyNumberFormat="1" applyFont="1"/>
    <xf numFmtId="1" fontId="16" fillId="0" borderId="0" xfId="15" quotePrefix="1" applyNumberFormat="1" applyFont="1" applyAlignment="1">
      <alignment horizontal="left"/>
    </xf>
    <xf numFmtId="1" fontId="16" fillId="0" borderId="0" xfId="15" quotePrefix="1" applyNumberFormat="1" applyFont="1"/>
    <xf numFmtId="1" fontId="16" fillId="0" borderId="0" xfId="15" applyNumberFormat="1" applyFont="1"/>
    <xf numFmtId="1" fontId="16" fillId="0" borderId="0" xfId="15" applyNumberFormat="1" applyFont="1" applyAlignment="1">
      <alignment horizontal="center" wrapText="1"/>
    </xf>
    <xf numFmtId="1" fontId="6" fillId="0" borderId="0" xfId="15" applyNumberFormat="1" applyFont="1" applyAlignment="1">
      <alignment wrapText="1"/>
    </xf>
    <xf numFmtId="1" fontId="11" fillId="0" borderId="0" xfId="15" applyNumberFormat="1" applyFont="1" applyAlignment="1">
      <alignment horizontal="center" wrapText="1"/>
    </xf>
    <xf numFmtId="1" fontId="11" fillId="6" borderId="3" xfId="15" applyNumberFormat="1" applyFont="1" applyFill="1" applyBorder="1" applyAlignment="1">
      <alignment horizontal="center" wrapText="1"/>
    </xf>
    <xf numFmtId="1" fontId="11" fillId="6" borderId="2" xfId="15" applyNumberFormat="1" applyFont="1" applyFill="1" applyBorder="1" applyAlignment="1">
      <alignment horizontal="center" wrapText="1"/>
    </xf>
    <xf numFmtId="1" fontId="6" fillId="7" borderId="1" xfId="15" applyNumberFormat="1" applyFont="1" applyFill="1" applyBorder="1" applyAlignment="1">
      <alignment horizontal="center" wrapText="1"/>
    </xf>
    <xf numFmtId="1" fontId="6" fillId="7" borderId="2" xfId="15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right" indent="2"/>
    </xf>
    <xf numFmtId="3" fontId="6" fillId="0" borderId="0" xfId="0" applyNumberFormat="1" applyFont="1" applyAlignment="1">
      <alignment horizontal="center" wrapText="1"/>
    </xf>
    <xf numFmtId="3" fontId="6" fillId="4" borderId="4" xfId="0" applyNumberFormat="1" applyFont="1" applyFill="1" applyBorder="1" applyAlignment="1">
      <alignment horizontal="right" indent="2"/>
    </xf>
    <xf numFmtId="3" fontId="6" fillId="4" borderId="4" xfId="0" applyNumberFormat="1" applyFont="1" applyFill="1" applyBorder="1" applyAlignment="1">
      <alignment horizontal="center" wrapText="1"/>
    </xf>
    <xf numFmtId="0" fontId="6" fillId="0" borderId="5" xfId="0" applyFont="1" applyBorder="1"/>
    <xf numFmtId="3" fontId="6" fillId="0" borderId="5" xfId="0" applyNumberFormat="1" applyFont="1" applyBorder="1" applyAlignment="1">
      <alignment horizontal="right" indent="2"/>
    </xf>
    <xf numFmtId="3" fontId="6" fillId="0" borderId="5" xfId="0" applyNumberFormat="1" applyFont="1" applyBorder="1" applyAlignment="1">
      <alignment horizontal="center" wrapText="1"/>
    </xf>
    <xf numFmtId="1" fontId="6" fillId="0" borderId="5" xfId="0" applyNumberFormat="1" applyFont="1" applyBorder="1" applyAlignment="1">
      <alignment horizontal="right" indent="2"/>
    </xf>
    <xf numFmtId="1" fontId="6" fillId="5" borderId="6" xfId="0" applyNumberFormat="1" applyFont="1" applyFill="1" applyBorder="1" applyAlignment="1">
      <alignment horizontal="right" indent="2"/>
    </xf>
    <xf numFmtId="1" fontId="6" fillId="5" borderId="4" xfId="0" applyNumberFormat="1" applyFont="1" applyFill="1" applyBorder="1" applyAlignment="1">
      <alignment horizontal="right" indent="2"/>
    </xf>
    <xf numFmtId="3" fontId="6" fillId="4" borderId="6" xfId="0" applyNumberFormat="1" applyFont="1" applyFill="1" applyBorder="1" applyAlignment="1">
      <alignment horizontal="right" indent="2"/>
    </xf>
    <xf numFmtId="3" fontId="6" fillId="4" borderId="6" xfId="0" applyNumberFormat="1" applyFont="1" applyFill="1" applyBorder="1" applyAlignment="1">
      <alignment horizontal="center" wrapText="1"/>
    </xf>
    <xf numFmtId="1" fontId="6" fillId="4" borderId="6" xfId="0" applyNumberFormat="1" applyFont="1" applyFill="1" applyBorder="1" applyAlignment="1">
      <alignment horizontal="right" indent="2"/>
    </xf>
    <xf numFmtId="3" fontId="6" fillId="3" borderId="0" xfId="0" applyNumberFormat="1" applyFont="1" applyFill="1" applyAlignment="1">
      <alignment horizontal="right" indent="2"/>
    </xf>
    <xf numFmtId="1" fontId="6" fillId="3" borderId="0" xfId="0" applyNumberFormat="1" applyFont="1" applyFill="1" applyAlignment="1">
      <alignment horizontal="right" indent="2"/>
    </xf>
    <xf numFmtId="3" fontId="6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/>
    <xf numFmtId="1" fontId="16" fillId="0" borderId="0" xfId="2" quotePrefix="1" applyNumberFormat="1" applyFont="1" applyAlignment="1">
      <alignment horizontal="left"/>
    </xf>
    <xf numFmtId="165" fontId="16" fillId="0" borderId="0" xfId="2" quotePrefix="1" applyNumberFormat="1" applyFont="1" applyAlignment="1">
      <alignment horizontal="left"/>
    </xf>
    <xf numFmtId="1" fontId="16" fillId="0" borderId="0" xfId="2" applyNumberFormat="1" applyFont="1"/>
    <xf numFmtId="165" fontId="3" fillId="0" borderId="0" xfId="0" applyNumberFormat="1" applyFont="1" applyAlignment="1">
      <alignment wrapText="1"/>
    </xf>
    <xf numFmtId="1" fontId="6" fillId="7" borderId="0" xfId="2" applyNumberFormat="1" applyFont="1" applyFill="1" applyAlignment="1">
      <alignment horizontal="center" wrapText="1"/>
    </xf>
    <xf numFmtId="165" fontId="6" fillId="7" borderId="0" xfId="2" applyNumberFormat="1" applyFont="1" applyFill="1" applyAlignment="1">
      <alignment horizontal="center" wrapText="1"/>
    </xf>
    <xf numFmtId="1" fontId="6" fillId="0" borderId="0" xfId="2" applyNumberFormat="1" applyFont="1" applyAlignment="1">
      <alignment horizontal="center" wrapText="1"/>
    </xf>
    <xf numFmtId="1" fontId="6" fillId="0" borderId="0" xfId="2" applyNumberFormat="1" applyFont="1" applyAlignment="1">
      <alignment wrapText="1"/>
    </xf>
    <xf numFmtId="165" fontId="3" fillId="4" borderId="6" xfId="0" applyNumberFormat="1" applyFont="1" applyFill="1" applyBorder="1" applyAlignment="1">
      <alignment horizontal="center"/>
    </xf>
    <xf numFmtId="1" fontId="11" fillId="0" borderId="0" xfId="2" applyNumberFormat="1" applyFont="1" applyAlignment="1">
      <alignment horizontal="center"/>
    </xf>
    <xf numFmtId="1" fontId="11" fillId="0" borderId="0" xfId="2" applyNumberFormat="1" applyFont="1"/>
    <xf numFmtId="2" fontId="6" fillId="0" borderId="0" xfId="0" applyNumberFormat="1" applyFont="1" applyAlignment="1">
      <alignment horizontal="right" indent="2"/>
    </xf>
    <xf numFmtId="1" fontId="11" fillId="0" borderId="0" xfId="2" applyNumberFormat="1" applyFont="1" applyAlignment="1">
      <alignment horizontal="right" indent="2"/>
    </xf>
    <xf numFmtId="2" fontId="6" fillId="4" borderId="4" xfId="0" applyNumberFormat="1" applyFont="1" applyFill="1" applyBorder="1" applyAlignment="1">
      <alignment horizontal="right" indent="2"/>
    </xf>
    <xf numFmtId="2" fontId="6" fillId="0" borderId="5" xfId="0" applyNumberFormat="1" applyFont="1" applyBorder="1" applyAlignment="1">
      <alignment horizontal="right" indent="2"/>
    </xf>
    <xf numFmtId="2" fontId="6" fillId="4" borderId="6" xfId="0" applyNumberFormat="1" applyFont="1" applyFill="1" applyBorder="1" applyAlignment="1">
      <alignment horizontal="right" indent="2"/>
    </xf>
    <xf numFmtId="2" fontId="6" fillId="3" borderId="0" xfId="0" applyNumberFormat="1" applyFont="1" applyFill="1" applyAlignment="1">
      <alignment horizontal="right" indent="2"/>
    </xf>
    <xf numFmtId="165" fontId="11" fillId="0" borderId="0" xfId="2" applyNumberFormat="1" applyFont="1" applyAlignment="1">
      <alignment horizontal="right" indent="2"/>
    </xf>
    <xf numFmtId="165" fontId="11" fillId="0" borderId="0" xfId="2" applyNumberFormat="1" applyFont="1"/>
    <xf numFmtId="166" fontId="16" fillId="0" borderId="0" xfId="3" quotePrefix="1" applyNumberFormat="1" applyFont="1" applyAlignment="1">
      <alignment horizontal="left"/>
    </xf>
    <xf numFmtId="166" fontId="16" fillId="0" borderId="0" xfId="3" applyNumberFormat="1" applyFont="1"/>
    <xf numFmtId="166" fontId="16" fillId="0" borderId="0" xfId="3" applyNumberFormat="1" applyFont="1" applyAlignment="1">
      <alignment horizontal="left"/>
    </xf>
    <xf numFmtId="166" fontId="22" fillId="0" borderId="0" xfId="3" quotePrefix="1" applyNumberFormat="1" applyFont="1" applyAlignment="1">
      <alignment horizontal="left" wrapText="1"/>
    </xf>
    <xf numFmtId="166" fontId="22" fillId="0" borderId="0" xfId="3" applyNumberFormat="1" applyFont="1" applyAlignment="1">
      <alignment wrapText="1"/>
    </xf>
    <xf numFmtId="166" fontId="22" fillId="0" borderId="0" xfId="3" applyNumberFormat="1" applyFont="1" applyAlignment="1">
      <alignment horizontal="left" wrapText="1"/>
    </xf>
    <xf numFmtId="166" fontId="11" fillId="6" borderId="3" xfId="3" applyNumberFormat="1" applyFont="1" applyFill="1" applyBorder="1" applyAlignment="1">
      <alignment wrapText="1"/>
    </xf>
    <xf numFmtId="166" fontId="11" fillId="6" borderId="3" xfId="3" applyNumberFormat="1" applyFont="1" applyFill="1" applyBorder="1" applyAlignment="1">
      <alignment horizontal="center" wrapText="1"/>
    </xf>
    <xf numFmtId="166" fontId="11" fillId="6" borderId="2" xfId="3" applyNumberFormat="1" applyFont="1" applyFill="1" applyBorder="1" applyAlignment="1">
      <alignment horizontal="center" wrapText="1"/>
    </xf>
    <xf numFmtId="166" fontId="11" fillId="0" borderId="0" xfId="3" applyNumberFormat="1" applyFont="1" applyAlignment="1">
      <alignment horizontal="center" wrapText="1"/>
    </xf>
    <xf numFmtId="166" fontId="11" fillId="0" borderId="0" xfId="3" applyNumberFormat="1" applyFont="1" applyAlignment="1">
      <alignment wrapText="1"/>
    </xf>
    <xf numFmtId="166" fontId="6" fillId="7" borderId="0" xfId="3" applyNumberFormat="1" applyFont="1" applyFill="1" applyAlignment="1">
      <alignment horizontal="right" wrapText="1"/>
    </xf>
    <xf numFmtId="166" fontId="6" fillId="7" borderId="2" xfId="3" applyNumberFormat="1" applyFont="1" applyFill="1" applyBorder="1" applyAlignment="1">
      <alignment horizontal="center" wrapText="1"/>
    </xf>
    <xf numFmtId="166" fontId="6" fillId="7" borderId="1" xfId="3" quotePrefix="1" applyNumberFormat="1" applyFont="1" applyFill="1" applyBorder="1" applyAlignment="1">
      <alignment horizontal="center" wrapText="1"/>
    </xf>
    <xf numFmtId="166" fontId="6" fillId="0" borderId="0" xfId="3" applyNumberFormat="1" applyFont="1" applyAlignment="1">
      <alignment horizontal="center" wrapText="1"/>
    </xf>
    <xf numFmtId="166" fontId="6" fillId="0" borderId="0" xfId="3" applyNumberFormat="1" applyFont="1" applyAlignment="1">
      <alignment horizontal="right" wrapText="1"/>
    </xf>
    <xf numFmtId="166" fontId="11" fillId="0" borderId="0" xfId="3" applyNumberFormat="1" applyFont="1" applyAlignment="1">
      <alignment horizontal="center"/>
    </xf>
    <xf numFmtId="166" fontId="11" fillId="0" borderId="0" xfId="3" applyNumberFormat="1" applyFont="1"/>
    <xf numFmtId="3" fontId="6" fillId="0" borderId="0" xfId="0" applyNumberFormat="1" applyFont="1" applyAlignment="1">
      <alignment horizontal="right"/>
    </xf>
    <xf numFmtId="166" fontId="11" fillId="0" borderId="0" xfId="3" applyNumberFormat="1" applyFont="1" applyAlignment="1">
      <alignment horizontal="right" indent="2"/>
    </xf>
    <xf numFmtId="3" fontId="6" fillId="4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166" fontId="6" fillId="0" borderId="0" xfId="3" applyNumberFormat="1" applyFont="1" applyAlignment="1">
      <alignment horizontal="right" indent="2"/>
    </xf>
    <xf numFmtId="166" fontId="6" fillId="0" borderId="0" xfId="3" applyNumberFormat="1" applyFont="1"/>
    <xf numFmtId="0" fontId="16" fillId="0" borderId="1" xfId="14" quotePrefix="1" applyFont="1" applyBorder="1" applyAlignment="1">
      <alignment horizontal="left"/>
    </xf>
    <xf numFmtId="0" fontId="16" fillId="0" borderId="1" xfId="4" quotePrefix="1" applyFont="1" applyBorder="1" applyAlignment="1">
      <alignment horizontal="left"/>
    </xf>
    <xf numFmtId="0" fontId="16" fillId="0" borderId="1" xfId="14" applyFont="1" applyBorder="1"/>
    <xf numFmtId="0" fontId="16" fillId="0" borderId="0" xfId="14" applyFont="1"/>
    <xf numFmtId="0" fontId="11" fillId="0" borderId="0" xfId="14" applyFont="1" applyAlignment="1">
      <alignment wrapText="1"/>
    </xf>
    <xf numFmtId="0" fontId="6" fillId="0" borderId="0" xfId="14" applyFont="1" applyAlignment="1">
      <alignment wrapText="1"/>
    </xf>
    <xf numFmtId="0" fontId="11" fillId="0" borderId="0" xfId="14" applyFont="1" applyAlignment="1">
      <alignment horizontal="center" wrapText="1"/>
    </xf>
    <xf numFmtId="0" fontId="6" fillId="7" borderId="0" xfId="0" applyFont="1" applyFill="1" applyAlignment="1">
      <alignment horizontal="left" wrapText="1"/>
    </xf>
    <xf numFmtId="0" fontId="6" fillId="0" borderId="0" xfId="14" applyFont="1" applyAlignment="1">
      <alignment horizontal="center" wrapText="1"/>
    </xf>
    <xf numFmtId="0" fontId="11" fillId="4" borderId="6" xfId="0" applyFont="1" applyFill="1" applyBorder="1" applyAlignment="1">
      <alignment horizontal="center"/>
    </xf>
    <xf numFmtId="0" fontId="6" fillId="0" borderId="0" xfId="14" applyFont="1" applyAlignment="1">
      <alignment horizontal="center"/>
    </xf>
    <xf numFmtId="0" fontId="6" fillId="0" borderId="0" xfId="14" applyFont="1"/>
    <xf numFmtId="173" fontId="6" fillId="0" borderId="0" xfId="0" applyNumberFormat="1" applyFont="1" applyAlignment="1">
      <alignment horizontal="right" indent="2"/>
    </xf>
    <xf numFmtId="165" fontId="6" fillId="0" borderId="0" xfId="0" applyNumberFormat="1" applyFont="1" applyAlignment="1">
      <alignment horizontal="right" indent="2"/>
    </xf>
    <xf numFmtId="0" fontId="6" fillId="0" borderId="0" xfId="14" applyFont="1" applyAlignment="1">
      <alignment horizontal="right" indent="2"/>
    </xf>
    <xf numFmtId="0" fontId="11" fillId="6" borderId="3" xfId="0" applyFont="1" applyFill="1" applyBorder="1" applyAlignment="1">
      <alignment horizontal="center"/>
    </xf>
    <xf numFmtId="0" fontId="11" fillId="6" borderId="10" xfId="0" applyFont="1" applyFill="1" applyBorder="1" applyAlignment="1">
      <alignment wrapText="1"/>
    </xf>
    <xf numFmtId="0" fontId="6" fillId="7" borderId="8" xfId="0" applyFont="1" applyFill="1" applyBorder="1" applyAlignment="1">
      <alignment horizontal="center" wrapText="1"/>
    </xf>
    <xf numFmtId="3" fontId="6" fillId="0" borderId="0" xfId="0" applyNumberFormat="1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3" fontId="6" fillId="4" borderId="2" xfId="0" applyNumberFormat="1" applyFont="1" applyFill="1" applyBorder="1"/>
    <xf numFmtId="165" fontId="6" fillId="4" borderId="2" xfId="0" applyNumberFormat="1" applyFont="1" applyFill="1" applyBorder="1"/>
    <xf numFmtId="1" fontId="6" fillId="4" borderId="7" xfId="0" applyNumberFormat="1" applyFont="1" applyFill="1" applyBorder="1" applyAlignment="1">
      <alignment horizontal="center"/>
    </xf>
    <xf numFmtId="0" fontId="16" fillId="0" borderId="0" xfId="13" quotePrefix="1" applyFont="1" applyAlignment="1">
      <alignment horizontal="left"/>
    </xf>
    <xf numFmtId="0" fontId="16" fillId="0" borderId="0" xfId="13" applyFont="1" applyAlignment="1">
      <alignment horizontal="left"/>
    </xf>
    <xf numFmtId="0" fontId="16" fillId="0" borderId="0" xfId="13" applyFont="1"/>
    <xf numFmtId="0" fontId="11" fillId="0" borderId="0" xfId="13" quotePrefix="1" applyFont="1" applyAlignment="1">
      <alignment horizontal="left" wrapText="1"/>
    </xf>
    <xf numFmtId="0" fontId="11" fillId="0" borderId="0" xfId="13" applyFont="1" applyAlignment="1">
      <alignment horizontal="left" wrapText="1"/>
    </xf>
    <xf numFmtId="0" fontId="11" fillId="0" borderId="0" xfId="13" applyFont="1" applyAlignment="1">
      <alignment wrapText="1"/>
    </xf>
    <xf numFmtId="0" fontId="22" fillId="0" borderId="0" xfId="0" applyFont="1" applyAlignment="1">
      <alignment wrapText="1"/>
    </xf>
    <xf numFmtId="175" fontId="6" fillId="0" borderId="5" xfId="18" applyNumberFormat="1" applyFont="1" applyBorder="1" applyAlignment="1">
      <alignment horizontal="right" indent="2"/>
    </xf>
    <xf numFmtId="0" fontId="11" fillId="4" borderId="4" xfId="0" applyFont="1" applyFill="1" applyBorder="1" applyAlignment="1">
      <alignment horizontal="left"/>
    </xf>
    <xf numFmtId="171" fontId="16" fillId="0" borderId="0" xfId="4" applyNumberFormat="1" applyFont="1"/>
    <xf numFmtId="0" fontId="18" fillId="0" borderId="0" xfId="0" applyFont="1" applyAlignment="1">
      <alignment wrapText="1"/>
    </xf>
    <xf numFmtId="171" fontId="15" fillId="0" borderId="0" xfId="4" applyNumberFormat="1" applyFont="1" applyAlignment="1">
      <alignment wrapText="1"/>
    </xf>
    <xf numFmtId="0" fontId="11" fillId="0" borderId="0" xfId="0" quotePrefix="1" applyFont="1" applyAlignment="1">
      <alignment horizontal="center" wrapText="1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indent="2"/>
    </xf>
    <xf numFmtId="2" fontId="3" fillId="0" borderId="0" xfId="0" applyNumberFormat="1" applyFont="1"/>
    <xf numFmtId="0" fontId="11" fillId="4" borderId="2" xfId="0" applyFont="1" applyFill="1" applyBorder="1" applyAlignment="1">
      <alignment horizontal="left"/>
    </xf>
    <xf numFmtId="0" fontId="11" fillId="0" borderId="0" xfId="0" applyFont="1" applyAlignment="1">
      <alignment horizontal="right" indent="2"/>
    </xf>
    <xf numFmtId="9" fontId="3" fillId="0" borderId="0" xfId="16" applyFont="1" applyAlignment="1">
      <alignment horizontal="right" indent="2"/>
    </xf>
    <xf numFmtId="166" fontId="6" fillId="7" borderId="1" xfId="3" applyNumberFormat="1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right" indent="2"/>
    </xf>
    <xf numFmtId="166" fontId="16" fillId="0" borderId="0" xfId="7" quotePrefix="1" applyNumberFormat="1" applyFont="1"/>
    <xf numFmtId="1" fontId="16" fillId="0" borderId="0" xfId="7" applyNumberFormat="1" applyFont="1"/>
    <xf numFmtId="166" fontId="6" fillId="0" borderId="0" xfId="7" quotePrefix="1" applyNumberFormat="1" applyFont="1" applyAlignment="1">
      <alignment wrapText="1"/>
    </xf>
    <xf numFmtId="1" fontId="11" fillId="0" borderId="0" xfId="7" applyNumberFormat="1" applyFont="1" applyAlignment="1">
      <alignment wrapText="1"/>
    </xf>
    <xf numFmtId="1" fontId="11" fillId="0" borderId="0" xfId="7" applyNumberFormat="1" applyFont="1" applyAlignment="1">
      <alignment horizontal="center" wrapText="1"/>
    </xf>
    <xf numFmtId="1" fontId="6" fillId="0" borderId="0" xfId="7" applyNumberFormat="1" applyFont="1" applyAlignment="1">
      <alignment horizontal="center" wrapText="1"/>
    </xf>
    <xf numFmtId="1" fontId="6" fillId="0" borderId="0" xfId="7" applyNumberFormat="1" applyFont="1" applyAlignment="1">
      <alignment wrapText="1"/>
    </xf>
    <xf numFmtId="1" fontId="11" fillId="0" borderId="0" xfId="7" applyNumberFormat="1" applyFont="1" applyAlignment="1">
      <alignment horizontal="center"/>
    </xf>
    <xf numFmtId="1" fontId="11" fillId="0" borderId="0" xfId="7" applyNumberFormat="1" applyFont="1"/>
    <xf numFmtId="1" fontId="6" fillId="0" borderId="0" xfId="0" applyNumberFormat="1" applyFont="1" applyAlignment="1">
      <alignment horizontal="right" indent="1"/>
    </xf>
    <xf numFmtId="1" fontId="11" fillId="0" borderId="0" xfId="7" applyNumberFormat="1" applyFont="1" applyAlignment="1">
      <alignment horizontal="right" indent="2"/>
    </xf>
    <xf numFmtId="1" fontId="6" fillId="4" borderId="2" xfId="0" applyNumberFormat="1" applyFont="1" applyFill="1" applyBorder="1" applyAlignment="1">
      <alignment horizontal="right" indent="1"/>
    </xf>
    <xf numFmtId="166" fontId="6" fillId="0" borderId="0" xfId="7" applyNumberFormat="1" applyFont="1"/>
    <xf numFmtId="166" fontId="11" fillId="0" borderId="0" xfId="7" applyNumberFormat="1" applyFont="1"/>
    <xf numFmtId="1" fontId="6" fillId="0" borderId="0" xfId="7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right" indent="1"/>
    </xf>
    <xf numFmtId="166" fontId="6" fillId="0" borderId="0" xfId="7" applyNumberFormat="1" applyFont="1" applyAlignment="1">
      <alignment horizontal="right" indent="2"/>
    </xf>
    <xf numFmtId="0" fontId="11" fillId="0" borderId="0" xfId="7" applyFont="1"/>
    <xf numFmtId="0" fontId="11" fillId="0" borderId="0" xfId="7" applyFont="1" applyAlignment="1">
      <alignment horizontal="right" indent="2"/>
    </xf>
    <xf numFmtId="1" fontId="11" fillId="0" borderId="0" xfId="7" applyNumberFormat="1" applyFont="1" applyAlignment="1">
      <alignment horizontal="right"/>
    </xf>
    <xf numFmtId="0" fontId="30" fillId="0" borderId="0" xfId="7" applyFont="1"/>
    <xf numFmtId="1" fontId="6" fillId="0" borderId="0" xfId="7" applyNumberFormat="1" applyFont="1"/>
    <xf numFmtId="169" fontId="16" fillId="0" borderId="0" xfId="12" quotePrefix="1" applyNumberFormat="1" applyFont="1"/>
    <xf numFmtId="169" fontId="16" fillId="0" borderId="0" xfId="12" applyNumberFormat="1" applyFont="1"/>
    <xf numFmtId="168" fontId="16" fillId="0" borderId="0" xfId="9" quotePrefix="1" applyNumberFormat="1" applyFont="1" applyAlignment="1">
      <alignment horizontal="left"/>
    </xf>
    <xf numFmtId="168" fontId="16" fillId="0" borderId="0" xfId="9" applyNumberFormat="1" applyFont="1"/>
    <xf numFmtId="0" fontId="16" fillId="0" borderId="0" xfId="5" applyFont="1"/>
    <xf numFmtId="170" fontId="16" fillId="0" borderId="0" xfId="9" applyNumberFormat="1" applyFont="1"/>
    <xf numFmtId="168" fontId="22" fillId="0" borderId="0" xfId="9" quotePrefix="1" applyNumberFormat="1" applyFont="1" applyAlignment="1">
      <alignment horizontal="left" wrapText="1"/>
    </xf>
    <xf numFmtId="168" fontId="22" fillId="0" borderId="0" xfId="9" applyNumberFormat="1" applyFont="1" applyAlignment="1">
      <alignment wrapText="1"/>
    </xf>
    <xf numFmtId="0" fontId="22" fillId="0" borderId="0" xfId="5" applyFont="1" applyAlignment="1">
      <alignment wrapText="1"/>
    </xf>
    <xf numFmtId="170" fontId="22" fillId="0" borderId="0" xfId="9" applyNumberFormat="1" applyFont="1" applyAlignment="1">
      <alignment wrapText="1"/>
    </xf>
    <xf numFmtId="1" fontId="11" fillId="6" borderId="3" xfId="9" applyNumberFormat="1" applyFont="1" applyFill="1" applyBorder="1" applyAlignment="1">
      <alignment wrapText="1"/>
    </xf>
    <xf numFmtId="1" fontId="11" fillId="6" borderId="3" xfId="9" applyNumberFormat="1" applyFont="1" applyFill="1" applyBorder="1" applyAlignment="1">
      <alignment horizontal="center" wrapText="1"/>
    </xf>
    <xf numFmtId="168" fontId="11" fillId="6" borderId="3" xfId="9" applyNumberFormat="1" applyFont="1" applyFill="1" applyBorder="1" applyAlignment="1">
      <alignment horizontal="center" wrapText="1"/>
    </xf>
    <xf numFmtId="168" fontId="11" fillId="0" borderId="0" xfId="9" applyNumberFormat="1" applyFont="1" applyAlignment="1">
      <alignment horizontal="center" wrapText="1"/>
    </xf>
    <xf numFmtId="168" fontId="11" fillId="0" borderId="0" xfId="9" applyNumberFormat="1" applyFont="1" applyAlignment="1">
      <alignment wrapText="1"/>
    </xf>
    <xf numFmtId="168" fontId="6" fillId="7" borderId="0" xfId="9" applyNumberFormat="1" applyFont="1" applyFill="1" applyAlignment="1">
      <alignment wrapText="1"/>
    </xf>
    <xf numFmtId="168" fontId="6" fillId="7" borderId="1" xfId="9" applyNumberFormat="1" applyFont="1" applyFill="1" applyBorder="1" applyAlignment="1">
      <alignment horizontal="center" wrapText="1"/>
    </xf>
    <xf numFmtId="1" fontId="6" fillId="7" borderId="1" xfId="9" applyNumberFormat="1" applyFont="1" applyFill="1" applyBorder="1" applyAlignment="1">
      <alignment horizontal="center" wrapText="1"/>
    </xf>
    <xf numFmtId="170" fontId="6" fillId="7" borderId="1" xfId="9" applyNumberFormat="1" applyFont="1" applyFill="1" applyBorder="1" applyAlignment="1">
      <alignment horizontal="center" wrapText="1"/>
    </xf>
    <xf numFmtId="168" fontId="6" fillId="0" borderId="0" xfId="9" applyNumberFormat="1" applyFont="1" applyAlignment="1">
      <alignment horizontal="center" wrapText="1"/>
    </xf>
    <xf numFmtId="168" fontId="6" fillId="0" borderId="0" xfId="9" applyNumberFormat="1" applyFont="1" applyAlignment="1">
      <alignment wrapText="1"/>
    </xf>
    <xf numFmtId="168" fontId="11" fillId="0" borderId="0" xfId="9" applyNumberFormat="1" applyFont="1" applyAlignment="1">
      <alignment horizontal="center"/>
    </xf>
    <xf numFmtId="168" fontId="11" fillId="0" borderId="0" xfId="9" applyNumberFormat="1" applyFont="1"/>
    <xf numFmtId="175" fontId="6" fillId="0" borderId="0" xfId="18" applyNumberFormat="1" applyFont="1" applyAlignment="1">
      <alignment horizontal="right" indent="2"/>
    </xf>
    <xf numFmtId="168" fontId="11" fillId="0" borderId="0" xfId="9" applyNumberFormat="1" applyFont="1" applyAlignment="1">
      <alignment horizontal="right" indent="2"/>
    </xf>
    <xf numFmtId="175" fontId="6" fillId="0" borderId="5" xfId="18" applyNumberFormat="1" applyFont="1" applyFill="1" applyBorder="1" applyAlignment="1">
      <alignment horizontal="right" indent="2"/>
    </xf>
    <xf numFmtId="175" fontId="6" fillId="4" borderId="6" xfId="18" applyNumberFormat="1" applyFont="1" applyFill="1" applyBorder="1" applyAlignment="1">
      <alignment horizontal="right" indent="2"/>
    </xf>
    <xf numFmtId="175" fontId="3" fillId="0" borderId="0" xfId="18" applyNumberFormat="1" applyFont="1" applyAlignment="1">
      <alignment horizontal="right" indent="2"/>
    </xf>
    <xf numFmtId="168" fontId="6" fillId="0" borderId="0" xfId="9" applyNumberFormat="1" applyFont="1"/>
    <xf numFmtId="170" fontId="11" fillId="0" borderId="0" xfId="9" applyNumberFormat="1" applyFont="1"/>
    <xf numFmtId="0" fontId="32" fillId="0" borderId="0" xfId="0" applyFont="1"/>
    <xf numFmtId="0" fontId="31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 indent="2"/>
    </xf>
    <xf numFmtId="0" fontId="31" fillId="0" borderId="0" xfId="0" applyFont="1"/>
    <xf numFmtId="0" fontId="31" fillId="2" borderId="0" xfId="0" applyFont="1" applyFill="1" applyAlignment="1">
      <alignment horizontal="right" indent="2"/>
    </xf>
    <xf numFmtId="0" fontId="31" fillId="2" borderId="0" xfId="0" applyFont="1" applyFill="1"/>
    <xf numFmtId="1" fontId="31" fillId="2" borderId="0" xfId="0" applyNumberFormat="1" applyFont="1" applyFill="1"/>
    <xf numFmtId="174" fontId="6" fillId="0" borderId="0" xfId="4" applyNumberFormat="1" applyFont="1"/>
    <xf numFmtId="1" fontId="6" fillId="0" borderId="0" xfId="17" applyNumberFormat="1" applyFont="1" applyAlignment="1">
      <alignment horizontal="right" indent="2"/>
    </xf>
    <xf numFmtId="1" fontId="6" fillId="4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horizontal="right"/>
    </xf>
    <xf numFmtId="0" fontId="19" fillId="0" borderId="0" xfId="0" applyFont="1" applyAlignment="1">
      <alignment wrapText="1"/>
    </xf>
    <xf numFmtId="0" fontId="35" fillId="0" borderId="0" xfId="0" applyFont="1" applyAlignment="1">
      <alignment horizontal="left"/>
    </xf>
    <xf numFmtId="1" fontId="6" fillId="4" borderId="2" xfId="0" applyNumberFormat="1" applyFont="1" applyFill="1" applyBorder="1" applyAlignment="1">
      <alignment horizontal="right" indent="2"/>
    </xf>
    <xf numFmtId="171" fontId="15" fillId="0" borderId="0" xfId="4" applyNumberFormat="1" applyFont="1" applyAlignment="1">
      <alignment horizontal="right" indent="2"/>
    </xf>
    <xf numFmtId="0" fontId="16" fillId="0" borderId="0" xfId="14" quotePrefix="1" applyFont="1" applyAlignment="1">
      <alignment horizontal="left"/>
    </xf>
    <xf numFmtId="0" fontId="16" fillId="0" borderId="0" xfId="4" quotePrefix="1" applyFont="1" applyAlignment="1">
      <alignment horizontal="left"/>
    </xf>
    <xf numFmtId="164" fontId="11" fillId="0" borderId="0" xfId="18" applyFont="1"/>
    <xf numFmtId="166" fontId="6" fillId="7" borderId="9" xfId="3" quotePrefix="1" applyNumberFormat="1" applyFont="1" applyFill="1" applyBorder="1" applyAlignment="1">
      <alignment horizontal="center" wrapText="1"/>
    </xf>
    <xf numFmtId="3" fontId="6" fillId="4" borderId="12" xfId="0" applyNumberFormat="1" applyFont="1" applyFill="1" applyBorder="1" applyAlignment="1">
      <alignment horizontal="right" indent="2"/>
    </xf>
    <xf numFmtId="3" fontId="6" fillId="0" borderId="8" xfId="0" applyNumberFormat="1" applyFont="1" applyBorder="1" applyAlignment="1">
      <alignment horizontal="right" indent="2"/>
    </xf>
    <xf numFmtId="3" fontId="6" fillId="4" borderId="11" xfId="0" applyNumberFormat="1" applyFont="1" applyFill="1" applyBorder="1" applyAlignment="1">
      <alignment horizontal="right" indent="2"/>
    </xf>
    <xf numFmtId="3" fontId="6" fillId="0" borderId="13" xfId="0" applyNumberFormat="1" applyFont="1" applyBorder="1" applyAlignment="1">
      <alignment horizontal="right" indent="2"/>
    </xf>
    <xf numFmtId="0" fontId="6" fillId="0" borderId="0" xfId="4" applyFont="1"/>
    <xf numFmtId="172" fontId="6" fillId="2" borderId="3" xfId="0" applyNumberFormat="1" applyFont="1" applyFill="1" applyBorder="1"/>
    <xf numFmtId="172" fontId="31" fillId="0" borderId="0" xfId="0" applyNumberFormat="1" applyFont="1" applyAlignment="1">
      <alignment horizontal="right" indent="2"/>
    </xf>
    <xf numFmtId="0" fontId="6" fillId="6" borderId="3" xfId="0" applyFont="1" applyFill="1" applyBorder="1" applyAlignment="1">
      <alignment wrapText="1"/>
    </xf>
    <xf numFmtId="0" fontId="6" fillId="4" borderId="6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37" fillId="0" borderId="0" xfId="0" applyFont="1"/>
    <xf numFmtId="0" fontId="16" fillId="0" borderId="0" xfId="25" applyFont="1"/>
    <xf numFmtId="0" fontId="3" fillId="0" borderId="0" xfId="25"/>
    <xf numFmtId="0" fontId="11" fillId="6" borderId="2" xfId="25" applyFont="1" applyFill="1" applyBorder="1" applyAlignment="1">
      <alignment wrapText="1"/>
    </xf>
    <xf numFmtId="0" fontId="11" fillId="6" borderId="1" xfId="25" applyFont="1" applyFill="1" applyBorder="1" applyAlignment="1">
      <alignment wrapText="1"/>
    </xf>
    <xf numFmtId="0" fontId="11" fillId="6" borderId="1" xfId="25" applyFont="1" applyFill="1" applyBorder="1" applyAlignment="1">
      <alignment horizontal="center" wrapText="1"/>
    </xf>
    <xf numFmtId="0" fontId="6" fillId="7" borderId="1" xfId="25" applyFont="1" applyFill="1" applyBorder="1" applyAlignment="1">
      <alignment wrapText="1"/>
    </xf>
    <xf numFmtId="0" fontId="11" fillId="7" borderId="1" xfId="25" applyFont="1" applyFill="1" applyBorder="1" applyAlignment="1">
      <alignment horizontal="center" wrapText="1"/>
    </xf>
    <xf numFmtId="0" fontId="6" fillId="0" borderId="0" xfId="25" applyFont="1" applyAlignment="1">
      <alignment horizontal="left"/>
    </xf>
    <xf numFmtId="0" fontId="6" fillId="4" borderId="2" xfId="25" applyFont="1" applyFill="1" applyBorder="1" applyAlignment="1">
      <alignment horizontal="left"/>
    </xf>
    <xf numFmtId="0" fontId="11" fillId="8" borderId="2" xfId="25" applyFont="1" applyFill="1" applyBorder="1" applyAlignment="1">
      <alignment wrapText="1"/>
    </xf>
    <xf numFmtId="0" fontId="6" fillId="8" borderId="2" xfId="25" applyFont="1" applyFill="1" applyBorder="1"/>
    <xf numFmtId="1" fontId="6" fillId="4" borderId="2" xfId="25" applyNumberFormat="1" applyFont="1" applyFill="1" applyBorder="1"/>
    <xf numFmtId="177" fontId="3" fillId="0" borderId="0" xfId="25" applyNumberFormat="1"/>
    <xf numFmtId="172" fontId="6" fillId="0" borderId="0" xfId="26" applyNumberFormat="1" applyFont="1"/>
    <xf numFmtId="1" fontId="3" fillId="0" borderId="0" xfId="25" applyNumberFormat="1"/>
    <xf numFmtId="172" fontId="6" fillId="0" borderId="0" xfId="26" applyNumberFormat="1" applyFont="1" applyAlignment="1">
      <alignment horizontal="center"/>
    </xf>
    <xf numFmtId="172" fontId="6" fillId="0" borderId="0" xfId="4" applyNumberFormat="1" applyFont="1" applyAlignment="1">
      <alignment horizontal="center"/>
    </xf>
    <xf numFmtId="172" fontId="6" fillId="4" borderId="2" xfId="25" applyNumberFormat="1" applyFont="1" applyFill="1" applyBorder="1" applyAlignment="1">
      <alignment horizontal="center"/>
    </xf>
    <xf numFmtId="175" fontId="6" fillId="0" borderId="0" xfId="18" applyNumberFormat="1" applyFont="1" applyBorder="1" applyAlignment="1"/>
    <xf numFmtId="175" fontId="6" fillId="0" borderId="0" xfId="18" applyNumberFormat="1" applyFont="1" applyBorder="1"/>
    <xf numFmtId="175" fontId="6" fillId="4" borderId="2" xfId="18" applyNumberFormat="1" applyFont="1" applyFill="1" applyBorder="1"/>
    <xf numFmtId="0" fontId="3" fillId="4" borderId="2" xfId="0" applyFont="1" applyFill="1" applyBorder="1"/>
    <xf numFmtId="3" fontId="6" fillId="4" borderId="2" xfId="0" applyNumberFormat="1" applyFont="1" applyFill="1" applyBorder="1" applyAlignment="1">
      <alignment horizontal="right" indent="2"/>
    </xf>
    <xf numFmtId="175" fontId="6" fillId="4" borderId="2" xfId="18" applyNumberFormat="1" applyFont="1" applyFill="1" applyBorder="1" applyAlignment="1">
      <alignment horizontal="right" indent="2"/>
    </xf>
    <xf numFmtId="0" fontId="25" fillId="6" borderId="3" xfId="0" applyFont="1" applyFill="1" applyBorder="1"/>
    <xf numFmtId="0" fontId="25" fillId="6" borderId="2" xfId="0" applyFont="1" applyFill="1" applyBorder="1" applyAlignment="1">
      <alignment horizontal="center" wrapText="1"/>
    </xf>
    <xf numFmtId="0" fontId="25" fillId="6" borderId="3" xfId="0" applyFont="1" applyFill="1" applyBorder="1" applyAlignment="1">
      <alignment horizontal="center" wrapText="1"/>
    </xf>
    <xf numFmtId="0" fontId="25" fillId="6" borderId="3" xfId="0" applyFont="1" applyFill="1" applyBorder="1" applyAlignment="1">
      <alignment wrapText="1"/>
    </xf>
    <xf numFmtId="0" fontId="25" fillId="6" borderId="3" xfId="0" applyFont="1" applyFill="1" applyBorder="1" applyAlignment="1">
      <alignment horizontal="right" wrapText="1"/>
    </xf>
    <xf numFmtId="0" fontId="38" fillId="0" borderId="0" xfId="17" applyFont="1"/>
    <xf numFmtId="0" fontId="11" fillId="7" borderId="1" xfId="0" applyFont="1" applyFill="1" applyBorder="1"/>
    <xf numFmtId="0" fontId="6" fillId="7" borderId="1" xfId="0" applyFont="1" applyFill="1" applyBorder="1" applyAlignment="1">
      <alignment horizontal="right" indent="2"/>
    </xf>
    <xf numFmtId="0" fontId="6" fillId="0" borderId="0" xfId="17" applyFont="1"/>
    <xf numFmtId="172" fontId="6" fillId="0" borderId="0" xfId="4" applyNumberFormat="1" applyFont="1" applyAlignment="1">
      <alignment horizontal="right" indent="1"/>
    </xf>
    <xf numFmtId="175" fontId="6" fillId="0" borderId="0" xfId="18" applyNumberFormat="1" applyFont="1" applyFill="1" applyBorder="1" applyAlignment="1">
      <alignment horizontal="right"/>
    </xf>
    <xf numFmtId="172" fontId="6" fillId="2" borderId="0" xfId="4" applyNumberFormat="1" applyFont="1" applyFill="1" applyAlignment="1">
      <alignment horizontal="right" indent="2"/>
    </xf>
    <xf numFmtId="172" fontId="6" fillId="4" borderId="2" xfId="0" applyNumberFormat="1" applyFont="1" applyFill="1" applyBorder="1" applyAlignment="1">
      <alignment horizontal="right" indent="1"/>
    </xf>
    <xf numFmtId="2" fontId="6" fillId="2" borderId="0" xfId="18" applyNumberFormat="1" applyFont="1" applyFill="1" applyBorder="1" applyAlignment="1">
      <alignment horizontal="right" indent="1"/>
    </xf>
    <xf numFmtId="2" fontId="6" fillId="4" borderId="2" xfId="18" applyNumberFormat="1" applyFont="1" applyFill="1" applyBorder="1" applyAlignment="1">
      <alignment horizontal="right" indent="1"/>
    </xf>
    <xf numFmtId="172" fontId="27" fillId="2" borderId="3" xfId="0" applyNumberFormat="1" applyFont="1" applyFill="1" applyBorder="1"/>
    <xf numFmtId="2" fontId="6" fillId="0" borderId="0" xfId="4" applyNumberFormat="1" applyFont="1" applyAlignment="1">
      <alignment horizontal="right" indent="1"/>
    </xf>
    <xf numFmtId="171" fontId="11" fillId="0" borderId="0" xfId="11" applyNumberFormat="1" applyFont="1"/>
    <xf numFmtId="1" fontId="3" fillId="0" borderId="0" xfId="0" applyNumberFormat="1" applyFont="1" applyAlignment="1">
      <alignment horizontal="right" indent="2"/>
    </xf>
    <xf numFmtId="16" fontId="3" fillId="0" borderId="0" xfId="0" applyNumberFormat="1" applyFont="1"/>
    <xf numFmtId="1" fontId="6" fillId="0" borderId="0" xfId="18" applyNumberFormat="1" applyFont="1"/>
    <xf numFmtId="0" fontId="6" fillId="8" borderId="2" xfId="25" applyFont="1" applyFill="1" applyBorder="1" applyAlignment="1">
      <alignment horizontal="right"/>
    </xf>
    <xf numFmtId="172" fontId="6" fillId="0" borderId="0" xfId="26" applyNumberFormat="1" applyFont="1" applyAlignment="1">
      <alignment horizontal="right"/>
    </xf>
    <xf numFmtId="172" fontId="6" fillId="4" borderId="2" xfId="25" applyNumberFormat="1" applyFont="1" applyFill="1" applyBorder="1" applyAlignment="1">
      <alignment horizontal="right"/>
    </xf>
    <xf numFmtId="172" fontId="6" fillId="2" borderId="0" xfId="0" applyNumberFormat="1" applyFont="1" applyFill="1" applyAlignment="1">
      <alignment horizontal="right" indent="1"/>
    </xf>
    <xf numFmtId="172" fontId="6" fillId="2" borderId="3" xfId="0" applyNumberFormat="1" applyFont="1" applyFill="1" applyBorder="1" applyAlignment="1">
      <alignment horizontal="right" indent="1"/>
    </xf>
    <xf numFmtId="172" fontId="11" fillId="0" borderId="0" xfId="16" applyNumberFormat="1" applyFont="1" applyAlignment="1"/>
    <xf numFmtId="172" fontId="11" fillId="0" borderId="0" xfId="16" applyNumberFormat="1" applyFont="1" applyFill="1" applyAlignment="1"/>
    <xf numFmtId="3" fontId="6" fillId="0" borderId="0" xfId="4" applyNumberFormat="1" applyFont="1"/>
    <xf numFmtId="3" fontId="6" fillId="2" borderId="0" xfId="4" applyNumberFormat="1" applyFont="1" applyFill="1"/>
    <xf numFmtId="3" fontId="6" fillId="4" borderId="2" xfId="4" applyNumberFormat="1" applyFont="1" applyFill="1" applyBorder="1"/>
    <xf numFmtId="172" fontId="6" fillId="0" borderId="0" xfId="26" applyNumberFormat="1" applyFont="1" applyFill="1" applyAlignment="1">
      <alignment horizontal="right"/>
    </xf>
    <xf numFmtId="3" fontId="6" fillId="0" borderId="0" xfId="18" applyNumberFormat="1" applyFont="1" applyFill="1" applyBorder="1" applyAlignment="1">
      <alignment horizontal="right"/>
    </xf>
    <xf numFmtId="3" fontId="6" fillId="4" borderId="4" xfId="18" applyNumberFormat="1" applyFont="1" applyFill="1" applyBorder="1" applyAlignment="1">
      <alignment horizontal="right"/>
    </xf>
    <xf numFmtId="3" fontId="6" fillId="0" borderId="5" xfId="18" applyNumberFormat="1" applyFont="1" applyBorder="1" applyAlignment="1">
      <alignment horizontal="right"/>
    </xf>
    <xf numFmtId="3" fontId="11" fillId="4" borderId="6" xfId="18" applyNumberFormat="1" applyFont="1" applyFill="1" applyBorder="1" applyAlignment="1">
      <alignment horizontal="right"/>
    </xf>
    <xf numFmtId="3" fontId="6" fillId="0" borderId="0" xfId="18" applyNumberFormat="1" applyFont="1" applyAlignment="1">
      <alignment horizontal="right"/>
    </xf>
    <xf numFmtId="3" fontId="3" fillId="0" borderId="0" xfId="18" applyNumberFormat="1" applyFont="1" applyAlignment="1">
      <alignment horizontal="right"/>
    </xf>
    <xf numFmtId="3" fontId="6" fillId="4" borderId="2" xfId="18" applyNumberFormat="1" applyFont="1" applyFill="1" applyBorder="1" applyAlignment="1">
      <alignment horizontal="right"/>
    </xf>
    <xf numFmtId="3" fontId="6" fillId="4" borderId="2" xfId="0" applyNumberFormat="1" applyFont="1" applyFill="1" applyBorder="1" applyAlignment="1">
      <alignment horizontal="right"/>
    </xf>
    <xf numFmtId="0" fontId="3" fillId="2" borderId="0" xfId="25" applyFill="1"/>
    <xf numFmtId="0" fontId="39" fillId="0" borderId="0" xfId="0" applyFont="1"/>
    <xf numFmtId="0" fontId="25" fillId="6" borderId="2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/>
    </xf>
    <xf numFmtId="0" fontId="15" fillId="0" borderId="0" xfId="0" applyFont="1" applyAlignment="1">
      <alignment horizontal="left" wrapText="1"/>
    </xf>
    <xf numFmtId="1" fontId="6" fillId="0" borderId="0" xfId="15" applyNumberFormat="1" applyFont="1" applyAlignment="1">
      <alignment wrapText="1"/>
    </xf>
    <xf numFmtId="1" fontId="11" fillId="6" borderId="2" xfId="15" applyNumberFormat="1" applyFont="1" applyFill="1" applyBorder="1" applyAlignment="1">
      <alignment horizontal="center" wrapText="1"/>
    </xf>
    <xf numFmtId="166" fontId="11" fillId="6" borderId="2" xfId="3" applyNumberFormat="1" applyFont="1" applyFill="1" applyBorder="1" applyAlignment="1">
      <alignment horizontal="center" wrapText="1"/>
    </xf>
    <xf numFmtId="166" fontId="11" fillId="6" borderId="3" xfId="3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wrapText="1"/>
    </xf>
    <xf numFmtId="0" fontId="16" fillId="6" borderId="2" xfId="0" applyFont="1" applyFill="1" applyBorder="1" applyAlignment="1">
      <alignment horizontal="center" wrapText="1"/>
    </xf>
    <xf numFmtId="166" fontId="11" fillId="6" borderId="7" xfId="3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distributed" wrapText="1" indent="1"/>
    </xf>
    <xf numFmtId="0" fontId="11" fillId="6" borderId="2" xfId="0" applyFont="1" applyFill="1" applyBorder="1" applyAlignment="1">
      <alignment horizontal="right" wrapText="1" indent="2"/>
    </xf>
    <xf numFmtId="0" fontId="11" fillId="6" borderId="2" xfId="0" applyFont="1" applyFill="1" applyBorder="1" applyAlignment="1">
      <alignment horizontal="right" wrapText="1" indent="3"/>
    </xf>
    <xf numFmtId="0" fontId="6" fillId="6" borderId="4" xfId="0" applyFont="1" applyFill="1" applyBorder="1" applyAlignment="1">
      <alignment horizontal="center" wrapText="1"/>
    </xf>
    <xf numFmtId="1" fontId="11" fillId="6" borderId="2" xfId="9" applyNumberFormat="1" applyFont="1" applyFill="1" applyBorder="1" applyAlignment="1">
      <alignment horizontal="center" wrapText="1"/>
    </xf>
    <xf numFmtId="0" fontId="11" fillId="6" borderId="2" xfId="25" applyFont="1" applyFill="1" applyBorder="1" applyAlignment="1">
      <alignment horizontal="center" wrapText="1"/>
    </xf>
  </cellXfs>
  <cellStyles count="27">
    <cellStyle name="Hyperkobling" xfId="1" builtinId="8"/>
    <cellStyle name="Komma" xfId="18" builtinId="3"/>
    <cellStyle name="Komma 2" xfId="24" xr:uid="{00000000-0005-0000-0000-000002000000}"/>
    <cellStyle name="Komma 3" xfId="26" xr:uid="{7B2931D6-72A9-4F2E-A44C-54A8EC5DA74F}"/>
    <cellStyle name="Normal" xfId="0" builtinId="0"/>
    <cellStyle name="Normal 2" xfId="17" xr:uid="{00000000-0005-0000-0000-000004000000}"/>
    <cellStyle name="Normal 2 2" xfId="20" xr:uid="{00000000-0005-0000-0000-000005000000}"/>
    <cellStyle name="Normal 3" xfId="19" xr:uid="{00000000-0005-0000-0000-000006000000}"/>
    <cellStyle name="Normal 4" xfId="21" xr:uid="{00000000-0005-0000-0000-000007000000}"/>
    <cellStyle name="Normal 4 2" xfId="22" xr:uid="{00000000-0005-0000-0000-000008000000}"/>
    <cellStyle name="Normal 5" xfId="23" xr:uid="{00000000-0005-0000-0000-000009000000}"/>
    <cellStyle name="Normal 6" xfId="25" xr:uid="{90FCEAB2-F97E-4A4C-890F-7858CBF6B4BD}"/>
    <cellStyle name="Normal_Ansatte med dr.grad" xfId="2" xr:uid="{00000000-0005-0000-0000-00000A000000}"/>
    <cellStyle name="Normal_Avgang &amp; tilvekst" xfId="3" xr:uid="{00000000-0005-0000-0000-00000C000000}"/>
    <cellStyle name="Normal_BF 1999" xfId="4" xr:uid="{00000000-0005-0000-0000-00000D000000}"/>
    <cellStyle name="Normal_BF 2000" xfId="5" xr:uid="{00000000-0005-0000-0000-00000F000000}"/>
    <cellStyle name="Normal_Driftsinntekter" xfId="6" xr:uid="{00000000-0005-0000-0000-000010000000}"/>
    <cellStyle name="Normal_Gjesteforskere&amp;utenlandsopphold" xfId="7" xr:uid="{00000000-0005-0000-0000-000011000000}"/>
    <cellStyle name="Normal_INNTEKTER 1997" xfId="8" xr:uid="{00000000-0005-0000-0000-000012000000}"/>
    <cellStyle name="Normal_Lisenser og patenter" xfId="9" xr:uid="{00000000-0005-0000-0000-000013000000}"/>
    <cellStyle name="Normal_MU 1999" xfId="10" xr:uid="{00000000-0005-0000-0000-000014000000}"/>
    <cellStyle name="Normal_NØKKELTALL" xfId="11" xr:uid="{00000000-0005-0000-0000-000015000000}"/>
    <cellStyle name="Normal_Prosjektportefølje" xfId="12" xr:uid="{00000000-0005-0000-0000-000016000000}"/>
    <cellStyle name="Normal_Publisering &amp; formidling" xfId="13" xr:uid="{00000000-0005-0000-0000-000017000000}"/>
    <cellStyle name="Normal_Sanarbeid med UoH" xfId="14" xr:uid="{00000000-0005-0000-0000-000018000000}"/>
    <cellStyle name="Normal_Årsverk" xfId="15" xr:uid="{00000000-0005-0000-0000-000019000000}"/>
    <cellStyle name="Prosent" xfId="16" builtinId="5"/>
  </cellStyles>
  <dxfs count="1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E8C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287020</xdr:colOff>
      <xdr:row>2</xdr:row>
      <xdr:rowOff>20320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638675" y="190500"/>
          <a:ext cx="2857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287020</xdr:colOff>
      <xdr:row>2</xdr:row>
      <xdr:rowOff>20320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3746FA7-7D9A-4513-8A8C-754A8916D2F9}"/>
            </a:ext>
          </a:extLst>
        </xdr:cNvPr>
        <xdr:cNvSpPr txBox="1">
          <a:spLocks noChangeArrowheads="1"/>
        </xdr:cNvSpPr>
      </xdr:nvSpPr>
      <xdr:spPr bwMode="auto">
        <a:xfrm>
          <a:off x="4048125" y="190500"/>
          <a:ext cx="2857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253365</xdr:colOff>
      <xdr:row>2</xdr:row>
      <xdr:rowOff>172720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253365</xdr:colOff>
      <xdr:row>2</xdr:row>
      <xdr:rowOff>172720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115377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253365</xdr:colOff>
      <xdr:row>2</xdr:row>
      <xdr:rowOff>172720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768667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253365</xdr:colOff>
      <xdr:row>2</xdr:row>
      <xdr:rowOff>172720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1281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253365</xdr:colOff>
      <xdr:row>2</xdr:row>
      <xdr:rowOff>172720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11982450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253365</xdr:colOff>
      <xdr:row>0</xdr:row>
      <xdr:rowOff>172720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900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253365</xdr:colOff>
      <xdr:row>0</xdr:row>
      <xdr:rowOff>172720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900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253365</xdr:colOff>
      <xdr:row>0</xdr:row>
      <xdr:rowOff>172720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900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253365</xdr:colOff>
      <xdr:row>0</xdr:row>
      <xdr:rowOff>172720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900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253365</xdr:colOff>
      <xdr:row>0</xdr:row>
      <xdr:rowOff>172720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9001125" y="15240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9</xdr:col>
      <xdr:colOff>250825</xdr:colOff>
      <xdr:row>3</xdr:row>
      <xdr:rowOff>17145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6438900" y="3238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250825</xdr:colOff>
      <xdr:row>3</xdr:row>
      <xdr:rowOff>17145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6438900" y="3238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250825</xdr:colOff>
      <xdr:row>3</xdr:row>
      <xdr:rowOff>17145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6438900" y="3238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250825</xdr:colOff>
      <xdr:row>3</xdr:row>
      <xdr:rowOff>17145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6438900" y="3238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250825</xdr:colOff>
      <xdr:row>3</xdr:row>
      <xdr:rowOff>17145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6438900" y="323850"/>
          <a:ext cx="2571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13" headers="0" growShrinkType="insertClear" adjustColumnWidth="0" connectionId="11" xr16:uid="{00000000-0016-0000-0400-000004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86_1" headers="0" growShrinkType="insertClear" adjustColumnWidth="0" connectionId="4" xr16:uid="{00000000-0016-0000-1300-000008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_1" headers="0" growShrinkType="insertClear" adjustColumnWidth="0" connectionId="5" xr16:uid="{00000000-0016-0000-1300-000007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_1" headers="0" growShrinkType="insertClear" adjustColumnWidth="0" connectionId="5" xr16:uid="{00000000-0016-0000-1800-00000C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86_1" headers="0" growShrinkType="insertClear" adjustColumnWidth="0" connectionId="4" xr16:uid="{00000000-0016-0000-1800-00000B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8" headers="0" growShrinkType="insertClear" adjustColumnWidth="0" connectionId="7" xr16:uid="{00000000-0016-0000-0400-000006000000}" autoFormatId="16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10" headers="0" growShrinkType="insertClear" adjustColumnWidth="0" connectionId="9" xr16:uid="{00000000-0016-0000-0400-000003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9" headers="0" growShrinkType="insertClear" adjustColumnWidth="0" connectionId="8" xr16:uid="{00000000-0016-0000-0400-000002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4" headers="0" growShrinkType="insertClear" adjustColumnWidth="0" connectionId="6" xr16:uid="{00000000-0016-0000-0400-000000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11" headers="0" growShrinkType="insertClear" adjustColumnWidth="0" connectionId="10" xr16:uid="{00000000-0016-0000-0400-000001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13_2" headers="0" growShrinkType="insertClear" adjustColumnWidth="0" connectionId="3" xr16:uid="{00000000-0016-0000-0400-000005000000}" autoFormatId="0" applyNumberFormats="0" applyBorderFormats="0" applyFontFormats="1" applyPatternFormats="0" applyAlignmentFormats="0" applyWidthHeightFormats="1">
  <queryTableRefresh preserveSortFilterLayout="0" headersInLastRefresh="0" nextId="5">
    <queryTableFields count="4">
      <queryTableField id="1" name="Instituttnavn"/>
      <queryTableField id="2" name="Forkortelse"/>
      <queryTableField id="3" name="Ansvarlig departement"/>
      <queryTableField id="4" name="Instituttets rettslige status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_2" headers="0" growShrinkType="insertClear" adjustColumnWidth="0" connectionId="5" xr16:uid="{00000000-0016-0000-1300-00000A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386_2" headers="0" growShrinkType="insertClear" adjustColumnWidth="0" connectionId="4" xr16:uid="{00000000-0016-0000-1300-000009000000}" autoFormatId="0" applyNumberFormats="0" applyBorderFormats="0" applyFontFormats="1" applyPatternFormats="0" applyAlignmentFormats="0" applyWidthHeightFormats="1">
  <queryTableRefresh preserveSortFilterLayout="0" headersInLastRefresh="0">
    <queryTableFields/>
  </queryTableRefresh>
</query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9.xml"/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5.bin"/><Relationship Id="rId5" Type="http://schemas.openxmlformats.org/officeDocument/2006/relationships/queryTable" Target="../queryTables/queryTable11.xml"/><Relationship Id="rId4" Type="http://schemas.openxmlformats.org/officeDocument/2006/relationships/queryTable" Target="../queryTables/queryTable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3.xml"/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N69"/>
  <sheetViews>
    <sheetView showGridLines="0" topLeftCell="A33" zoomScale="115" zoomScaleNormal="115" workbookViewId="0">
      <selection activeCell="C41" sqref="C41"/>
    </sheetView>
  </sheetViews>
  <sheetFormatPr baseColWidth="10" defaultColWidth="11.44140625" defaultRowHeight="13.2" x14ac:dyDescent="0.25"/>
  <cols>
    <col min="1" max="1" width="59.5546875" style="12" customWidth="1"/>
    <col min="2" max="2" width="24.5546875" style="12" bestFit="1" customWidth="1"/>
    <col min="3" max="3" width="36" style="12" bestFit="1" customWidth="1"/>
    <col min="4" max="4" width="10.5546875" style="12" bestFit="1" customWidth="1"/>
    <col min="5" max="5" width="13.88671875" style="30" customWidth="1"/>
    <col min="6" max="6" width="7.88671875" style="30" bestFit="1" customWidth="1"/>
    <col min="7" max="12" width="18.5546875" style="12" customWidth="1"/>
    <col min="13" max="16384" width="11.44140625" style="12"/>
  </cols>
  <sheetData>
    <row r="1" spans="1:14" s="17" customFormat="1" ht="12" customHeight="1" x14ac:dyDescent="0.25">
      <c r="A1" s="17" t="s">
        <v>248</v>
      </c>
      <c r="E1" s="21"/>
      <c r="F1" s="21"/>
    </row>
    <row r="2" spans="1:14" s="17" customFormat="1" ht="12" customHeight="1" x14ac:dyDescent="0.25">
      <c r="E2" s="21"/>
      <c r="F2" s="21"/>
    </row>
    <row r="3" spans="1:14" ht="12" customHeight="1" x14ac:dyDescent="0.25">
      <c r="A3" s="22"/>
      <c r="B3" s="22"/>
      <c r="C3" s="22"/>
      <c r="D3" s="22"/>
      <c r="E3" s="23" t="s">
        <v>116</v>
      </c>
      <c r="F3" s="23" t="s">
        <v>18</v>
      </c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24" t="s">
        <v>4</v>
      </c>
      <c r="B4" s="24"/>
      <c r="C4" s="24"/>
      <c r="D4" s="24"/>
      <c r="E4" s="25">
        <v>1</v>
      </c>
      <c r="F4" s="25">
        <f>COUNTA(A6:A10)</f>
        <v>5</v>
      </c>
      <c r="G4" s="26"/>
      <c r="H4" s="26"/>
      <c r="I4" s="26"/>
      <c r="J4" s="26"/>
      <c r="K4" s="26"/>
      <c r="L4" s="26"/>
      <c r="M4" s="10"/>
      <c r="N4" s="10"/>
    </row>
    <row r="5" spans="1:14" x14ac:dyDescent="0.25">
      <c r="A5" s="27" t="s">
        <v>243</v>
      </c>
      <c r="B5" s="28" t="s">
        <v>41</v>
      </c>
      <c r="C5" s="28" t="s">
        <v>42</v>
      </c>
      <c r="D5" s="28" t="s">
        <v>43</v>
      </c>
      <c r="E5" s="3"/>
      <c r="F5" s="3"/>
      <c r="G5" s="29"/>
      <c r="H5" s="29"/>
      <c r="I5" s="29"/>
      <c r="J5" s="29"/>
      <c r="K5" s="29"/>
      <c r="L5" s="29"/>
      <c r="M5" s="10"/>
      <c r="N5" s="10"/>
    </row>
    <row r="6" spans="1:14" x14ac:dyDescent="0.25">
      <c r="A6" s="20" t="s">
        <v>199</v>
      </c>
      <c r="B6" s="20" t="s">
        <v>200</v>
      </c>
      <c r="C6" s="20" t="s">
        <v>44</v>
      </c>
      <c r="D6" s="20" t="s">
        <v>47</v>
      </c>
      <c r="E6" s="3"/>
      <c r="F6" s="3"/>
      <c r="G6" s="29"/>
      <c r="H6" s="29"/>
      <c r="I6" s="29"/>
      <c r="J6" s="29"/>
      <c r="K6" s="29"/>
      <c r="L6" s="29"/>
      <c r="M6" s="10"/>
      <c r="N6" s="10"/>
    </row>
    <row r="7" spans="1:14" x14ac:dyDescent="0.25">
      <c r="A7" s="20" t="s">
        <v>99</v>
      </c>
      <c r="B7" s="20" t="s">
        <v>99</v>
      </c>
      <c r="C7" s="20" t="s">
        <v>171</v>
      </c>
      <c r="D7" s="20" t="s">
        <v>45</v>
      </c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20" t="s">
        <v>198</v>
      </c>
      <c r="B8" s="20" t="s">
        <v>192</v>
      </c>
      <c r="C8" s="20" t="s">
        <v>44</v>
      </c>
      <c r="D8" s="20" t="s">
        <v>46</v>
      </c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20" t="s">
        <v>225</v>
      </c>
      <c r="B9" s="20" t="s">
        <v>206</v>
      </c>
      <c r="C9" s="20" t="s">
        <v>171</v>
      </c>
      <c r="D9" s="20" t="s">
        <v>45</v>
      </c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20" t="s">
        <v>48</v>
      </c>
      <c r="B10" s="20" t="s">
        <v>90</v>
      </c>
      <c r="C10" s="20" t="s">
        <v>44</v>
      </c>
      <c r="D10" s="20" t="s">
        <v>46</v>
      </c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32" t="s">
        <v>244</v>
      </c>
      <c r="B11" s="33"/>
      <c r="C11" s="33"/>
      <c r="D11" s="33"/>
      <c r="E11" s="34"/>
      <c r="F11" s="35">
        <v>2</v>
      </c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20" t="s">
        <v>49</v>
      </c>
      <c r="B12" s="20" t="s">
        <v>91</v>
      </c>
      <c r="C12" s="20" t="s">
        <v>171</v>
      </c>
      <c r="D12" s="20" t="s">
        <v>46</v>
      </c>
      <c r="E12" s="31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20"/>
      <c r="B13" s="20"/>
      <c r="C13" s="20"/>
      <c r="D13" s="20"/>
      <c r="E13" s="31"/>
      <c r="F13" s="31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24" t="s">
        <v>5</v>
      </c>
      <c r="B14" s="24"/>
      <c r="C14" s="24"/>
      <c r="D14" s="24"/>
      <c r="E14" s="25">
        <v>2</v>
      </c>
      <c r="F14" s="25">
        <f>COUNTA(A17:A35)</f>
        <v>17</v>
      </c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36"/>
      <c r="B15" s="36"/>
      <c r="C15" s="36"/>
      <c r="D15" s="36"/>
      <c r="E15" s="37"/>
      <c r="F15" s="37"/>
      <c r="G15" s="38"/>
      <c r="H15" s="10"/>
      <c r="I15" s="10"/>
      <c r="J15" s="10"/>
      <c r="K15" s="10"/>
      <c r="L15" s="10"/>
      <c r="M15" s="10"/>
      <c r="N15" s="10"/>
    </row>
    <row r="16" spans="1:14" x14ac:dyDescent="0.25">
      <c r="A16" s="27" t="s">
        <v>245</v>
      </c>
      <c r="B16" s="36"/>
      <c r="C16" s="36"/>
      <c r="D16" s="36"/>
      <c r="E16" s="37"/>
      <c r="F16" s="37"/>
      <c r="G16" s="38"/>
      <c r="H16" s="10"/>
      <c r="I16" s="10"/>
      <c r="J16" s="10"/>
      <c r="K16" s="10"/>
      <c r="L16" s="10"/>
      <c r="M16" s="10"/>
      <c r="N16" s="10"/>
    </row>
    <row r="17" spans="1:14" ht="12.75" customHeight="1" x14ac:dyDescent="0.25">
      <c r="A17" s="20" t="s">
        <v>70</v>
      </c>
      <c r="B17" s="20" t="s">
        <v>71</v>
      </c>
      <c r="C17" s="20" t="s">
        <v>163</v>
      </c>
      <c r="D17" s="20" t="s">
        <v>47</v>
      </c>
      <c r="E17" s="31"/>
      <c r="F17" s="31"/>
      <c r="G17" s="10"/>
      <c r="H17" s="10"/>
      <c r="I17" s="10"/>
      <c r="J17" s="10"/>
      <c r="K17" s="10"/>
      <c r="L17" s="10"/>
      <c r="M17" s="10"/>
      <c r="N17" s="10"/>
    </row>
    <row r="18" spans="1:14" ht="12.75" customHeight="1" x14ac:dyDescent="0.25">
      <c r="A18" s="20" t="s">
        <v>50</v>
      </c>
      <c r="B18" s="20" t="s">
        <v>51</v>
      </c>
      <c r="C18" s="20" t="s">
        <v>98</v>
      </c>
      <c r="D18" s="20" t="s">
        <v>47</v>
      </c>
      <c r="E18" s="31"/>
      <c r="F18" s="31"/>
      <c r="G18" s="10"/>
      <c r="H18" s="10"/>
      <c r="I18" s="10"/>
      <c r="J18" s="10"/>
      <c r="K18" s="10"/>
      <c r="L18" s="10"/>
      <c r="M18" s="10"/>
      <c r="N18" s="10"/>
    </row>
    <row r="19" spans="1:14" ht="12.75" customHeight="1" x14ac:dyDescent="0.25">
      <c r="A19" s="20" t="s">
        <v>52</v>
      </c>
      <c r="B19" s="20" t="s">
        <v>53</v>
      </c>
      <c r="C19" s="20" t="s">
        <v>98</v>
      </c>
      <c r="D19" s="20" t="s">
        <v>47</v>
      </c>
      <c r="E19" s="39"/>
      <c r="F19" s="39"/>
      <c r="G19" s="10"/>
      <c r="H19" s="10"/>
      <c r="I19" s="10"/>
      <c r="J19" s="10"/>
      <c r="K19" s="10"/>
      <c r="L19" s="10"/>
      <c r="M19" s="10"/>
      <c r="N19" s="10"/>
    </row>
    <row r="20" spans="1:14" ht="12.75" customHeight="1" x14ac:dyDescent="0.25">
      <c r="A20" s="20" t="s">
        <v>54</v>
      </c>
      <c r="B20" s="20" t="s">
        <v>55</v>
      </c>
      <c r="C20" s="20" t="s">
        <v>98</v>
      </c>
      <c r="D20" s="20" t="s">
        <v>47</v>
      </c>
      <c r="E20" s="31"/>
      <c r="F20" s="31"/>
      <c r="G20" s="10"/>
      <c r="H20" s="10"/>
      <c r="I20" s="10"/>
      <c r="J20" s="10"/>
      <c r="K20" s="10"/>
      <c r="L20" s="10"/>
      <c r="M20" s="10"/>
      <c r="N20" s="10"/>
    </row>
    <row r="21" spans="1:14" ht="12.75" customHeight="1" x14ac:dyDescent="0.25">
      <c r="A21" s="20" t="s">
        <v>56</v>
      </c>
      <c r="B21" s="20" t="s">
        <v>57</v>
      </c>
      <c r="C21" s="20" t="s">
        <v>98</v>
      </c>
      <c r="D21" s="20" t="s">
        <v>47</v>
      </c>
      <c r="E21" s="31"/>
      <c r="F21" s="31"/>
      <c r="G21" s="10"/>
      <c r="H21" s="10"/>
      <c r="I21" s="10"/>
      <c r="J21" s="10"/>
      <c r="K21" s="10"/>
      <c r="L21" s="10"/>
      <c r="M21" s="10"/>
      <c r="N21" s="10"/>
    </row>
    <row r="22" spans="1:14" ht="12.75" customHeight="1" x14ac:dyDescent="0.25">
      <c r="A22" s="20" t="s">
        <v>58</v>
      </c>
      <c r="B22" s="20" t="s">
        <v>59</v>
      </c>
      <c r="C22" s="20" t="s">
        <v>98</v>
      </c>
      <c r="D22" s="20" t="s">
        <v>45</v>
      </c>
      <c r="E22" s="31"/>
      <c r="F22" s="31"/>
      <c r="G22" s="10"/>
      <c r="H22" s="10"/>
      <c r="I22" s="10"/>
      <c r="J22" s="10"/>
      <c r="K22" s="10"/>
      <c r="L22" s="10"/>
      <c r="M22" s="10"/>
      <c r="N22" s="10"/>
    </row>
    <row r="23" spans="1:14" ht="12.75" customHeight="1" x14ac:dyDescent="0.25">
      <c r="A23" s="20" t="s">
        <v>161</v>
      </c>
      <c r="B23" s="20" t="s">
        <v>133</v>
      </c>
      <c r="C23" s="20" t="s">
        <v>98</v>
      </c>
      <c r="D23" s="20" t="s">
        <v>47</v>
      </c>
      <c r="E23" s="31"/>
      <c r="F23" s="31"/>
      <c r="G23" s="10"/>
      <c r="H23" s="10"/>
      <c r="I23" s="10"/>
      <c r="J23" s="10"/>
      <c r="K23" s="10"/>
      <c r="L23" s="10"/>
      <c r="M23" s="10"/>
      <c r="N23" s="10"/>
    </row>
    <row r="24" spans="1:14" ht="12.75" customHeight="1" x14ac:dyDescent="0.25">
      <c r="A24" s="20" t="s">
        <v>228</v>
      </c>
      <c r="B24" s="20" t="s">
        <v>223</v>
      </c>
      <c r="C24" s="20" t="s">
        <v>98</v>
      </c>
      <c r="D24" s="20" t="s">
        <v>45</v>
      </c>
      <c r="E24" s="31"/>
      <c r="F24" s="31"/>
      <c r="G24" s="10"/>
      <c r="H24" s="10"/>
      <c r="I24" s="10"/>
      <c r="J24" s="10"/>
      <c r="K24" s="10"/>
      <c r="L24" s="10"/>
      <c r="M24" s="10"/>
      <c r="N24" s="10"/>
    </row>
    <row r="25" spans="1:14" ht="12.75" customHeight="1" x14ac:dyDescent="0.25">
      <c r="A25" s="20" t="s">
        <v>60</v>
      </c>
      <c r="B25" s="20" t="s">
        <v>92</v>
      </c>
      <c r="C25" s="20" t="s">
        <v>98</v>
      </c>
      <c r="D25" s="20" t="s">
        <v>45</v>
      </c>
      <c r="E25" s="31"/>
      <c r="F25" s="31"/>
      <c r="G25" s="10"/>
      <c r="H25" s="10"/>
      <c r="I25" s="10"/>
      <c r="J25" s="10"/>
      <c r="K25" s="10"/>
      <c r="L25" s="10"/>
      <c r="M25" s="10"/>
      <c r="N25" s="10"/>
    </row>
    <row r="26" spans="1:14" ht="12.75" customHeight="1" x14ac:dyDescent="0.25">
      <c r="A26" s="20" t="s">
        <v>67</v>
      </c>
      <c r="B26" s="20" t="s">
        <v>68</v>
      </c>
      <c r="C26" s="20" t="s">
        <v>98</v>
      </c>
      <c r="D26" s="20" t="s">
        <v>46</v>
      </c>
      <c r="E26" s="31"/>
      <c r="F26" s="31"/>
      <c r="G26" s="10"/>
      <c r="H26" s="10"/>
      <c r="I26" s="10"/>
      <c r="J26" s="10"/>
      <c r="K26" s="10"/>
      <c r="L26" s="10"/>
      <c r="M26" s="10"/>
      <c r="N26" s="10"/>
    </row>
    <row r="27" spans="1:14" ht="12.75" customHeight="1" x14ac:dyDescent="0.25">
      <c r="A27" s="20" t="s">
        <v>227</v>
      </c>
      <c r="B27" s="20" t="s">
        <v>63</v>
      </c>
      <c r="C27" s="20" t="s">
        <v>98</v>
      </c>
      <c r="D27" s="20" t="s">
        <v>45</v>
      </c>
      <c r="E27" s="31"/>
      <c r="F27" s="31"/>
      <c r="G27" s="10"/>
      <c r="H27" s="10"/>
      <c r="I27" s="10"/>
      <c r="J27" s="10"/>
      <c r="K27" s="10"/>
      <c r="L27" s="10"/>
      <c r="M27" s="10"/>
      <c r="N27" s="10"/>
    </row>
    <row r="28" spans="1:14" ht="12.75" customHeight="1" x14ac:dyDescent="0.25">
      <c r="A28" s="20" t="s">
        <v>69</v>
      </c>
      <c r="B28" s="20" t="s">
        <v>114</v>
      </c>
      <c r="C28" s="20" t="s">
        <v>98</v>
      </c>
      <c r="D28" s="20" t="s">
        <v>45</v>
      </c>
      <c r="E28" s="31"/>
      <c r="F28" s="31"/>
      <c r="G28" s="10"/>
      <c r="H28" s="10"/>
      <c r="I28" s="10"/>
      <c r="J28" s="10"/>
      <c r="K28" s="10"/>
      <c r="L28" s="10"/>
      <c r="M28" s="10"/>
      <c r="N28" s="10"/>
    </row>
    <row r="29" spans="1:14" s="10" customFormat="1" ht="12.75" customHeight="1" x14ac:dyDescent="0.2">
      <c r="A29" s="20" t="s">
        <v>61</v>
      </c>
      <c r="B29" s="20" t="s">
        <v>62</v>
      </c>
      <c r="C29" s="20" t="s">
        <v>98</v>
      </c>
      <c r="D29" s="20" t="s">
        <v>45</v>
      </c>
      <c r="E29" s="31"/>
      <c r="F29" s="31"/>
    </row>
    <row r="30" spans="1:14" ht="12.75" customHeight="1" x14ac:dyDescent="0.25">
      <c r="A30" s="20" t="s">
        <v>226</v>
      </c>
      <c r="B30" s="20" t="s">
        <v>226</v>
      </c>
      <c r="C30" s="20" t="s">
        <v>98</v>
      </c>
      <c r="D30" s="20" t="s">
        <v>47</v>
      </c>
      <c r="E30" s="31"/>
      <c r="F30" s="31"/>
      <c r="G30" s="10"/>
      <c r="H30" s="10"/>
      <c r="I30" s="10"/>
      <c r="J30" s="10"/>
      <c r="K30" s="10"/>
      <c r="L30" s="10"/>
      <c r="M30" s="10"/>
      <c r="N30" s="10"/>
    </row>
    <row r="31" spans="1:14" ht="12.75" customHeight="1" x14ac:dyDescent="0.25">
      <c r="A31" s="16" t="s">
        <v>162</v>
      </c>
      <c r="B31" s="20" t="s">
        <v>113</v>
      </c>
      <c r="C31" s="20" t="s">
        <v>98</v>
      </c>
      <c r="D31" s="20" t="s">
        <v>47</v>
      </c>
      <c r="E31" s="31"/>
      <c r="F31" s="31"/>
      <c r="G31" s="10"/>
      <c r="H31" s="10"/>
      <c r="I31" s="10"/>
      <c r="J31" s="10"/>
      <c r="K31" s="10"/>
      <c r="L31" s="10"/>
      <c r="M31" s="10"/>
      <c r="N31" s="10"/>
    </row>
    <row r="32" spans="1:14" ht="12.75" customHeight="1" x14ac:dyDescent="0.25">
      <c r="A32" s="20" t="s">
        <v>160</v>
      </c>
      <c r="B32" s="20" t="s">
        <v>194</v>
      </c>
      <c r="C32" s="20" t="s">
        <v>98</v>
      </c>
      <c r="D32" s="20" t="s">
        <v>47</v>
      </c>
      <c r="E32" s="31"/>
      <c r="F32" s="31"/>
      <c r="G32" s="10"/>
      <c r="H32" s="10"/>
      <c r="I32" s="10"/>
      <c r="J32" s="10"/>
      <c r="K32" s="10"/>
      <c r="L32" s="10"/>
      <c r="M32" s="10"/>
      <c r="N32" s="10"/>
    </row>
    <row r="33" spans="1:14" ht="12.75" customHeight="1" x14ac:dyDescent="0.25">
      <c r="A33" s="20" t="s">
        <v>66</v>
      </c>
      <c r="B33" s="20" t="s">
        <v>93</v>
      </c>
      <c r="C33" s="20" t="s">
        <v>98</v>
      </c>
      <c r="D33" s="20" t="s">
        <v>47</v>
      </c>
      <c r="E33" s="31"/>
      <c r="F33" s="31"/>
      <c r="G33" s="10"/>
      <c r="H33" s="10"/>
      <c r="I33" s="10"/>
      <c r="J33" s="10"/>
      <c r="K33" s="10"/>
      <c r="L33" s="10"/>
      <c r="M33" s="10"/>
      <c r="N33" s="10"/>
    </row>
    <row r="34" spans="1:14" ht="12.75" customHeight="1" x14ac:dyDescent="0.25">
      <c r="A34" s="20"/>
      <c r="B34" s="20"/>
      <c r="C34" s="20"/>
      <c r="D34" s="20"/>
      <c r="E34" s="31"/>
      <c r="F34" s="31"/>
      <c r="G34" s="10"/>
      <c r="H34" s="10"/>
      <c r="I34" s="10"/>
      <c r="J34" s="10"/>
      <c r="K34" s="10"/>
      <c r="L34" s="10"/>
      <c r="M34" s="10"/>
      <c r="N34" s="10"/>
    </row>
    <row r="35" spans="1:14" ht="12.75" customHeight="1" x14ac:dyDescent="0.25">
      <c r="A35" s="20"/>
      <c r="B35" s="20"/>
      <c r="C35" s="20"/>
      <c r="D35" s="20"/>
      <c r="E35" s="31"/>
      <c r="F35" s="31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20"/>
      <c r="B36" s="20"/>
      <c r="C36" s="20"/>
      <c r="D36" s="20"/>
      <c r="E36" s="31"/>
      <c r="F36" s="31"/>
      <c r="G36" s="20"/>
      <c r="H36" s="20"/>
      <c r="I36" s="20"/>
      <c r="J36" s="20"/>
      <c r="K36" s="20"/>
      <c r="L36" s="20"/>
      <c r="M36" s="10"/>
      <c r="N36" s="10"/>
    </row>
    <row r="37" spans="1:14" x14ac:dyDescent="0.25">
      <c r="A37" s="24" t="s">
        <v>108</v>
      </c>
      <c r="B37" s="24"/>
      <c r="C37" s="24"/>
      <c r="D37" s="24"/>
      <c r="E37" s="25">
        <v>4</v>
      </c>
      <c r="F37" s="25">
        <f>COUNTA(A40:A49)</f>
        <v>8</v>
      </c>
      <c r="G37" s="20"/>
      <c r="H37" s="20"/>
      <c r="I37" s="20"/>
      <c r="J37" s="2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27" t="s">
        <v>245</v>
      </c>
      <c r="B39" s="20"/>
      <c r="C39" s="20"/>
      <c r="D39" s="20"/>
      <c r="E39" s="31"/>
      <c r="F39" s="31"/>
      <c r="G39" s="20"/>
      <c r="H39" s="20"/>
      <c r="I39" s="20"/>
      <c r="J39" s="20"/>
      <c r="K39" s="10"/>
      <c r="L39" s="10"/>
      <c r="M39" s="10"/>
      <c r="N39" s="10"/>
    </row>
    <row r="40" spans="1:14" x14ac:dyDescent="0.25">
      <c r="A40" s="20"/>
      <c r="B40" s="20"/>
      <c r="C40" s="20"/>
      <c r="D40" s="20"/>
      <c r="E40" s="31"/>
      <c r="F40" s="31"/>
      <c r="G40" s="20"/>
      <c r="H40" s="20"/>
      <c r="I40" s="20"/>
      <c r="J40" s="20"/>
      <c r="K40" s="10"/>
      <c r="L40" s="10"/>
      <c r="M40" s="10"/>
      <c r="N40" s="10"/>
    </row>
    <row r="41" spans="1:14" x14ac:dyDescent="0.25">
      <c r="A41" s="20" t="s">
        <v>72</v>
      </c>
      <c r="B41" s="20" t="s">
        <v>73</v>
      </c>
      <c r="C41" s="20" t="s">
        <v>195</v>
      </c>
      <c r="D41" s="20" t="s">
        <v>47</v>
      </c>
      <c r="E41" s="31"/>
      <c r="F41" s="31"/>
      <c r="G41" s="20"/>
      <c r="H41" s="20"/>
      <c r="I41" s="20"/>
      <c r="J41" s="20"/>
      <c r="K41" s="10"/>
      <c r="L41" s="10"/>
      <c r="M41" s="10"/>
      <c r="N41" s="10"/>
    </row>
    <row r="42" spans="1:14" s="41" customFormat="1" x14ac:dyDescent="0.25">
      <c r="A42" s="20" t="s">
        <v>124</v>
      </c>
      <c r="B42" s="20" t="s">
        <v>115</v>
      </c>
      <c r="C42" s="20" t="s">
        <v>195</v>
      </c>
      <c r="D42" s="20" t="s">
        <v>47</v>
      </c>
      <c r="E42" s="39"/>
      <c r="F42" s="39"/>
      <c r="G42" s="40"/>
      <c r="H42" s="40"/>
      <c r="I42" s="40"/>
      <c r="J42" s="40"/>
      <c r="K42" s="40"/>
      <c r="L42" s="40"/>
      <c r="M42" s="40"/>
      <c r="N42" s="40"/>
    </row>
    <row r="43" spans="1:14" x14ac:dyDescent="0.25">
      <c r="A43" s="20" t="s">
        <v>74</v>
      </c>
      <c r="B43" s="20" t="s">
        <v>75</v>
      </c>
      <c r="C43" s="20" t="s">
        <v>195</v>
      </c>
      <c r="D43" s="20" t="s">
        <v>47</v>
      </c>
      <c r="E43" s="31"/>
      <c r="F43" s="31"/>
      <c r="G43" s="20"/>
      <c r="H43" s="20"/>
      <c r="I43" s="20"/>
      <c r="J43" s="20"/>
      <c r="K43" s="10"/>
      <c r="L43" s="10"/>
      <c r="M43" s="10"/>
      <c r="N43" s="10"/>
    </row>
    <row r="44" spans="1:14" x14ac:dyDescent="0.25">
      <c r="A44" s="20" t="s">
        <v>76</v>
      </c>
      <c r="B44" s="20" t="s">
        <v>77</v>
      </c>
      <c r="C44" s="20" t="s">
        <v>195</v>
      </c>
      <c r="D44" s="20" t="s">
        <v>47</v>
      </c>
      <c r="E44" s="31"/>
      <c r="F44" s="31"/>
      <c r="G44" s="20"/>
      <c r="H44" s="20"/>
      <c r="I44" s="20"/>
      <c r="J44" s="20"/>
      <c r="K44" s="20"/>
      <c r="L44" s="20"/>
      <c r="M44" s="10"/>
      <c r="N44" s="10"/>
    </row>
    <row r="45" spans="1:14" x14ac:dyDescent="0.25">
      <c r="A45" s="20" t="s">
        <v>78</v>
      </c>
      <c r="B45" s="20" t="s">
        <v>79</v>
      </c>
      <c r="C45" s="20" t="s">
        <v>195</v>
      </c>
      <c r="D45" s="20" t="s">
        <v>47</v>
      </c>
      <c r="E45" s="31"/>
      <c r="F45" s="31"/>
      <c r="G45" s="20"/>
      <c r="H45" s="20"/>
      <c r="I45" s="20"/>
      <c r="J45" s="20"/>
      <c r="K45" s="10"/>
      <c r="L45" s="10"/>
      <c r="M45" s="10"/>
      <c r="N45" s="10"/>
    </row>
    <row r="46" spans="1:14" x14ac:dyDescent="0.25">
      <c r="A46" s="20" t="s">
        <v>80</v>
      </c>
      <c r="B46" s="20" t="s">
        <v>81</v>
      </c>
      <c r="C46" s="20" t="s">
        <v>195</v>
      </c>
      <c r="D46" s="20" t="s">
        <v>47</v>
      </c>
      <c r="G46" s="10"/>
      <c r="H46" s="10"/>
      <c r="I46" s="10"/>
      <c r="J46" s="10"/>
      <c r="K46" s="10"/>
      <c r="L46" s="10"/>
      <c r="M46" s="10"/>
      <c r="N46" s="10"/>
    </row>
    <row r="47" spans="1:14" x14ac:dyDescent="0.25">
      <c r="A47" s="20" t="s">
        <v>224</v>
      </c>
      <c r="B47" s="20" t="s">
        <v>224</v>
      </c>
      <c r="C47" s="20" t="s">
        <v>195</v>
      </c>
      <c r="D47" s="20" t="s">
        <v>45</v>
      </c>
      <c r="G47" s="10"/>
      <c r="H47" s="10"/>
      <c r="I47" s="10"/>
      <c r="J47" s="10"/>
      <c r="K47" s="10"/>
      <c r="L47" s="10"/>
      <c r="M47" s="10"/>
      <c r="N47" s="10"/>
    </row>
    <row r="48" spans="1:14" s="41" customFormat="1" x14ac:dyDescent="0.25">
      <c r="A48" s="20" t="s">
        <v>64</v>
      </c>
      <c r="B48" s="20" t="s">
        <v>65</v>
      </c>
      <c r="C48" s="20" t="s">
        <v>195</v>
      </c>
      <c r="D48" s="20" t="s">
        <v>47</v>
      </c>
      <c r="E48" s="39"/>
      <c r="F48" s="39"/>
      <c r="G48" s="40"/>
      <c r="H48" s="40"/>
      <c r="I48" s="40"/>
      <c r="J48" s="40"/>
      <c r="K48" s="40"/>
      <c r="L48" s="40"/>
      <c r="M48" s="40"/>
      <c r="N48" s="40"/>
    </row>
    <row r="49" spans="1:14" s="41" customFormat="1" x14ac:dyDescent="0.25">
      <c r="A49" s="20"/>
      <c r="B49" s="20"/>
      <c r="C49" s="44"/>
      <c r="D49" s="44"/>
      <c r="E49" s="39"/>
      <c r="F49" s="39"/>
      <c r="G49" s="40"/>
      <c r="H49" s="40"/>
      <c r="I49" s="40"/>
      <c r="J49" s="40"/>
      <c r="K49" s="40"/>
      <c r="L49" s="40"/>
      <c r="M49" s="40"/>
      <c r="N49" s="40"/>
    </row>
    <row r="50" spans="1:14" x14ac:dyDescent="0.25">
      <c r="A50" s="24" t="s">
        <v>6</v>
      </c>
      <c r="B50" s="24"/>
      <c r="C50" s="24"/>
      <c r="D50" s="24"/>
      <c r="E50" s="25">
        <v>5</v>
      </c>
      <c r="F50" s="25">
        <f>COUNTA(A52:A58)</f>
        <v>7</v>
      </c>
      <c r="G50" s="20"/>
      <c r="H50" s="10"/>
      <c r="I50" s="20"/>
      <c r="J50" s="20"/>
      <c r="K50" s="20"/>
      <c r="L50" s="10"/>
      <c r="M50" s="10"/>
      <c r="N50" s="10"/>
    </row>
    <row r="51" spans="1:14" x14ac:dyDescent="0.25">
      <c r="A51" s="27" t="s">
        <v>245</v>
      </c>
      <c r="B51" s="28" t="s">
        <v>41</v>
      </c>
      <c r="C51" s="28" t="s">
        <v>42</v>
      </c>
      <c r="D51" s="28" t="s">
        <v>43</v>
      </c>
      <c r="E51" s="31"/>
      <c r="F51" s="31"/>
      <c r="G51" s="20"/>
      <c r="H51" s="20"/>
      <c r="I51" s="20"/>
      <c r="J51" s="20"/>
      <c r="K51" s="20"/>
      <c r="L51" s="10"/>
      <c r="M51" s="10"/>
      <c r="N51" s="10"/>
    </row>
    <row r="52" spans="1:14" x14ac:dyDescent="0.25">
      <c r="A52" s="20" t="s">
        <v>82</v>
      </c>
      <c r="B52" s="20" t="s">
        <v>83</v>
      </c>
      <c r="C52" s="20" t="s">
        <v>171</v>
      </c>
      <c r="D52" s="20" t="s">
        <v>47</v>
      </c>
      <c r="E52" s="31"/>
      <c r="F52" s="31"/>
      <c r="G52" s="20"/>
      <c r="H52" s="20"/>
      <c r="I52" s="20"/>
      <c r="J52" s="20"/>
      <c r="K52" s="20"/>
      <c r="L52" s="10"/>
      <c r="M52" s="10"/>
      <c r="N52" s="10"/>
    </row>
    <row r="53" spans="1:14" x14ac:dyDescent="0.25">
      <c r="A53" s="20" t="s">
        <v>84</v>
      </c>
      <c r="B53" s="20" t="s">
        <v>85</v>
      </c>
      <c r="C53" s="20" t="s">
        <v>171</v>
      </c>
      <c r="D53" s="20" t="s">
        <v>47</v>
      </c>
      <c r="E53" s="31"/>
      <c r="F53" s="31"/>
      <c r="G53" s="20"/>
      <c r="H53" s="20"/>
      <c r="I53" s="20"/>
      <c r="J53" s="20"/>
      <c r="K53" s="20"/>
      <c r="L53" s="10"/>
      <c r="M53" s="10"/>
      <c r="N53" s="10"/>
    </row>
    <row r="54" spans="1:14" x14ac:dyDescent="0.25">
      <c r="A54" s="20" t="s">
        <v>223</v>
      </c>
      <c r="B54" s="20" t="s">
        <v>223</v>
      </c>
      <c r="C54" s="20" t="s">
        <v>171</v>
      </c>
      <c r="D54" s="20" t="s">
        <v>45</v>
      </c>
      <c r="E54" s="31"/>
      <c r="F54" s="31"/>
      <c r="G54" s="20"/>
      <c r="H54" s="20"/>
      <c r="I54" s="20"/>
      <c r="J54" s="20"/>
      <c r="K54" s="20"/>
      <c r="L54" s="10"/>
      <c r="M54" s="10"/>
      <c r="N54" s="10"/>
    </row>
    <row r="55" spans="1:14" x14ac:dyDescent="0.25">
      <c r="A55" s="20" t="s">
        <v>86</v>
      </c>
      <c r="B55" s="20" t="s">
        <v>86</v>
      </c>
      <c r="C55" s="20" t="s">
        <v>171</v>
      </c>
      <c r="D55" s="20" t="s">
        <v>47</v>
      </c>
      <c r="E55" s="31"/>
      <c r="F55" s="31"/>
      <c r="G55" s="20"/>
      <c r="H55" s="20"/>
      <c r="I55" s="20"/>
      <c r="J55" s="20"/>
      <c r="K55" s="20"/>
      <c r="L55" s="10"/>
      <c r="M55" s="10"/>
      <c r="N55" s="10"/>
    </row>
    <row r="56" spans="1:14" x14ac:dyDescent="0.25">
      <c r="A56" s="20" t="s">
        <v>87</v>
      </c>
      <c r="B56" s="20" t="s">
        <v>88</v>
      </c>
      <c r="C56" s="20" t="s">
        <v>171</v>
      </c>
      <c r="D56" s="20" t="s">
        <v>47</v>
      </c>
      <c r="E56" s="31"/>
      <c r="F56" s="31"/>
      <c r="G56" s="20"/>
      <c r="H56" s="20"/>
      <c r="I56" s="20"/>
      <c r="J56" s="20"/>
      <c r="K56" s="20"/>
      <c r="L56" s="20"/>
      <c r="M56" s="10"/>
      <c r="N56" s="10"/>
    </row>
    <row r="57" spans="1:14" x14ac:dyDescent="0.25">
      <c r="A57" s="20" t="s">
        <v>241</v>
      </c>
      <c r="B57" s="20" t="s">
        <v>239</v>
      </c>
      <c r="C57" s="20" t="s">
        <v>171</v>
      </c>
      <c r="D57" s="20" t="s">
        <v>45</v>
      </c>
      <c r="E57" s="31"/>
      <c r="F57" s="31"/>
      <c r="G57" s="20"/>
      <c r="H57" s="20"/>
      <c r="I57" s="20"/>
      <c r="J57" s="20"/>
      <c r="K57" s="20"/>
      <c r="L57" s="20"/>
      <c r="M57" s="10"/>
      <c r="N57" s="10"/>
    </row>
    <row r="58" spans="1:14" x14ac:dyDescent="0.25">
      <c r="A58" s="20" t="s">
        <v>231</v>
      </c>
      <c r="B58" s="20" t="s">
        <v>89</v>
      </c>
      <c r="C58" s="20" t="s">
        <v>171</v>
      </c>
      <c r="D58" s="20" t="s">
        <v>47</v>
      </c>
      <c r="E58" s="31"/>
      <c r="F58" s="31"/>
      <c r="G58" s="20"/>
      <c r="H58" s="20"/>
      <c r="I58" s="20"/>
      <c r="J58" s="20"/>
      <c r="K58" s="20"/>
      <c r="L58" s="10"/>
      <c r="M58" s="10"/>
      <c r="N58" s="10"/>
    </row>
    <row r="59" spans="1:14" x14ac:dyDescent="0.25">
      <c r="A59" s="32" t="s">
        <v>244</v>
      </c>
      <c r="B59" s="42"/>
      <c r="C59" s="42"/>
      <c r="D59" s="42"/>
      <c r="E59" s="43"/>
      <c r="F59" s="35">
        <v>1</v>
      </c>
      <c r="G59" s="20"/>
      <c r="H59" s="20"/>
      <c r="I59" s="20"/>
      <c r="J59" s="20"/>
      <c r="K59" s="20"/>
      <c r="L59" s="20"/>
      <c r="M59" s="10"/>
      <c r="N59" s="10"/>
    </row>
    <row r="60" spans="1:14" x14ac:dyDescent="0.25">
      <c r="A60" s="20" t="s">
        <v>103</v>
      </c>
      <c r="B60" s="20" t="s">
        <v>104</v>
      </c>
      <c r="C60" s="20" t="s">
        <v>105</v>
      </c>
      <c r="D60" s="20" t="s">
        <v>46</v>
      </c>
      <c r="E60" s="31"/>
      <c r="F60" s="31"/>
      <c r="G60" s="20"/>
      <c r="H60" s="20"/>
      <c r="I60" s="20"/>
      <c r="J60" s="20"/>
      <c r="K60" s="20"/>
      <c r="L60" s="20"/>
      <c r="M60" s="10"/>
      <c r="N60" s="10"/>
    </row>
    <row r="61" spans="1:14" x14ac:dyDescent="0.25">
      <c r="A61" s="20"/>
      <c r="B61" s="20"/>
      <c r="C61" s="20"/>
      <c r="D61" s="20"/>
      <c r="E61" s="31"/>
      <c r="F61" s="31"/>
      <c r="G61" s="20"/>
      <c r="H61" s="20"/>
      <c r="I61" s="20"/>
      <c r="J61" s="20"/>
      <c r="K61" s="20"/>
      <c r="L61" s="20"/>
      <c r="M61" s="10"/>
      <c r="N61" s="10"/>
    </row>
    <row r="62" spans="1:14" x14ac:dyDescent="0.25">
      <c r="A62" s="20"/>
      <c r="B62" s="20"/>
      <c r="C62" s="20"/>
      <c r="D62" s="20"/>
      <c r="E62" s="31"/>
      <c r="F62" s="31"/>
      <c r="G62" s="20"/>
      <c r="H62" s="20"/>
      <c r="I62" s="20"/>
      <c r="J62" s="20"/>
      <c r="K62" s="20"/>
      <c r="L62" s="20"/>
      <c r="M62" s="10"/>
      <c r="N62" s="10"/>
    </row>
    <row r="63" spans="1:14" x14ac:dyDescent="0.25">
      <c r="A63" s="20"/>
      <c r="B63" s="20"/>
      <c r="C63" s="20"/>
      <c r="D63" s="20"/>
      <c r="G63" s="10"/>
      <c r="H63" s="10"/>
      <c r="I63" s="10"/>
      <c r="J63" s="10"/>
      <c r="K63" s="10"/>
      <c r="L63" s="10"/>
      <c r="M63" s="10"/>
      <c r="N63" s="10"/>
    </row>
    <row r="64" spans="1:14" x14ac:dyDescent="0.25">
      <c r="A64" s="20" t="s">
        <v>229</v>
      </c>
      <c r="B64" s="20"/>
      <c r="C64" s="20"/>
      <c r="D64" s="20"/>
      <c r="G64" s="10"/>
      <c r="H64" s="10"/>
      <c r="I64" s="10"/>
      <c r="J64" s="10"/>
      <c r="K64" s="10"/>
      <c r="L64" s="10"/>
      <c r="M64" s="10"/>
      <c r="N64" s="10"/>
    </row>
    <row r="65" spans="1:1" x14ac:dyDescent="0.25">
      <c r="A65" s="20" t="s">
        <v>230</v>
      </c>
    </row>
    <row r="66" spans="1:1" x14ac:dyDescent="0.25">
      <c r="A66" s="20" t="s">
        <v>159</v>
      </c>
    </row>
    <row r="67" spans="1:1" x14ac:dyDescent="0.25">
      <c r="A67" s="20" t="s">
        <v>211</v>
      </c>
    </row>
    <row r="68" spans="1:1" x14ac:dyDescent="0.25">
      <c r="A68" s="20" t="s">
        <v>212</v>
      </c>
    </row>
    <row r="69" spans="1:1" x14ac:dyDescent="0.25">
      <c r="A69" s="20" t="s">
        <v>206</v>
      </c>
    </row>
  </sheetData>
  <sortState xmlns:xlrd2="http://schemas.microsoft.com/office/spreadsheetml/2017/richdata2" ref="A6:N10">
    <sortCondition ref="A6:A10"/>
  </sortState>
  <phoneticPr fontId="6" type="noConversion"/>
  <pageMargins left="0.78740157499999996" right="0.78740157499999996" top="0.984251969" bottom="0.984251969" header="0.5" footer="0.5"/>
  <pageSetup paperSize="9" scale="89" fitToHeight="0" orientation="landscape" verticalDpi="1200" r:id="rId1"/>
  <headerFooter alignWithMargins="0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5">
    <pageSetUpPr fitToPage="1"/>
  </sheetPr>
  <dimension ref="A1:AS89"/>
  <sheetViews>
    <sheetView showGridLines="0" zoomScale="115" zoomScaleNormal="115" workbookViewId="0">
      <selection activeCell="A49" sqref="A49"/>
    </sheetView>
  </sheetViews>
  <sheetFormatPr baseColWidth="10" defaultColWidth="8.88671875" defaultRowHeight="11.25" customHeight="1" x14ac:dyDescent="0.2"/>
  <cols>
    <col min="1" max="1" width="47.109375" style="181" customWidth="1"/>
    <col min="2" max="2" width="10.5546875" style="181" customWidth="1"/>
    <col min="3" max="3" width="12.109375" style="181" customWidth="1"/>
    <col min="4" max="4" width="10.5546875" style="183" customWidth="1"/>
    <col min="5" max="5" width="11.88671875" style="181" customWidth="1"/>
    <col min="6" max="6" width="10.5546875" style="181" customWidth="1"/>
    <col min="7" max="7" width="10.5546875" style="72" customWidth="1"/>
    <col min="8" max="21" width="10.5546875" style="181" customWidth="1"/>
    <col min="22" max="16384" width="8.88671875" style="181"/>
  </cols>
  <sheetData>
    <row r="1" spans="1:8" s="169" customFormat="1" ht="12" customHeight="1" x14ac:dyDescent="0.25">
      <c r="A1" s="164" t="str">
        <f>Tabelloversikt!A12</f>
        <v>Tabell 7 Inntekter fra utlandet etter finansieringskilde og områdetilknytning i 2019-2023</v>
      </c>
      <c r="B1" s="165"/>
      <c r="C1" s="166"/>
      <c r="D1" s="167"/>
      <c r="E1" s="164"/>
      <c r="F1" s="164"/>
      <c r="G1" s="72"/>
      <c r="H1" s="168"/>
    </row>
    <row r="2" spans="1:8" s="174" customFormat="1" ht="12" customHeight="1" x14ac:dyDescent="0.2">
      <c r="A2" s="170"/>
      <c r="B2" s="171"/>
      <c r="C2" s="172"/>
      <c r="D2" s="170"/>
      <c r="E2" s="170"/>
      <c r="F2" s="170"/>
      <c r="G2" s="72"/>
      <c r="H2" s="173"/>
    </row>
    <row r="3" spans="1:8" s="174" customFormat="1" ht="33.75" customHeight="1" x14ac:dyDescent="0.2">
      <c r="A3" s="7"/>
      <c r="B3" s="8" t="s">
        <v>12</v>
      </c>
      <c r="C3" s="8" t="s">
        <v>201</v>
      </c>
      <c r="D3" s="8" t="s">
        <v>13</v>
      </c>
      <c r="E3" s="8" t="s">
        <v>97</v>
      </c>
      <c r="F3" s="8" t="s">
        <v>0</v>
      </c>
      <c r="G3" s="72"/>
      <c r="H3" s="173"/>
    </row>
    <row r="4" spans="1:8" s="174" customFormat="1" ht="12" customHeight="1" x14ac:dyDescent="0.2">
      <c r="A4" s="175">
        <f>A12-1</f>
        <v>2019</v>
      </c>
      <c r="B4" s="176" t="s">
        <v>2</v>
      </c>
      <c r="C4" s="176" t="s">
        <v>2</v>
      </c>
      <c r="D4" s="176" t="s">
        <v>2</v>
      </c>
      <c r="E4" s="176" t="s">
        <v>2</v>
      </c>
      <c r="F4" s="176" t="s">
        <v>2</v>
      </c>
      <c r="G4" s="72"/>
      <c r="H4" s="173"/>
    </row>
    <row r="5" spans="1:8" s="174" customFormat="1" ht="12" customHeight="1" x14ac:dyDescent="0.2">
      <c r="A5" s="71" t="s">
        <v>5</v>
      </c>
      <c r="B5" s="72">
        <v>35638</v>
      </c>
      <c r="C5" s="72">
        <v>17190</v>
      </c>
      <c r="D5" s="72">
        <v>12399</v>
      </c>
      <c r="E5" s="72">
        <v>60591</v>
      </c>
      <c r="F5" s="72">
        <v>125818</v>
      </c>
      <c r="G5" s="72"/>
      <c r="H5" s="173"/>
    </row>
    <row r="6" spans="1:8" s="174" customFormat="1" ht="12" customHeight="1" x14ac:dyDescent="0.2">
      <c r="A6" s="71" t="s">
        <v>108</v>
      </c>
      <c r="B6" s="72">
        <v>66657</v>
      </c>
      <c r="C6" s="72">
        <v>11741</v>
      </c>
      <c r="D6" s="72">
        <v>44975</v>
      </c>
      <c r="E6" s="72">
        <v>54629</v>
      </c>
      <c r="F6" s="72">
        <v>178002</v>
      </c>
      <c r="G6" s="72"/>
      <c r="H6" s="173"/>
    </row>
    <row r="7" spans="1:8" s="174" customFormat="1" ht="12" customHeight="1" x14ac:dyDescent="0.2">
      <c r="A7" s="71" t="s">
        <v>4</v>
      </c>
      <c r="B7" s="72">
        <v>48782</v>
      </c>
      <c r="C7" s="72">
        <v>5334</v>
      </c>
      <c r="D7" s="72">
        <v>24774</v>
      </c>
      <c r="E7" s="72">
        <v>16748</v>
      </c>
      <c r="F7" s="72">
        <v>95638</v>
      </c>
      <c r="G7" s="72"/>
      <c r="H7" s="173"/>
    </row>
    <row r="8" spans="1:8" s="174" customFormat="1" ht="12" customHeight="1" x14ac:dyDescent="0.2">
      <c r="A8" s="71" t="s">
        <v>6</v>
      </c>
      <c r="B8" s="72">
        <v>281740</v>
      </c>
      <c r="C8" s="72">
        <v>469</v>
      </c>
      <c r="D8" s="72">
        <v>428259</v>
      </c>
      <c r="E8" s="72">
        <v>155195</v>
      </c>
      <c r="F8" s="72">
        <v>865663</v>
      </c>
      <c r="G8" s="72"/>
      <c r="H8" s="173"/>
    </row>
    <row r="9" spans="1:8" s="174" customFormat="1" ht="12" customHeight="1" x14ac:dyDescent="0.2">
      <c r="A9" s="78" t="s">
        <v>107</v>
      </c>
      <c r="B9" s="79">
        <f>SUM(B5:B8)</f>
        <v>432817</v>
      </c>
      <c r="C9" s="79">
        <f>SUM(C5:C8)</f>
        <v>34734</v>
      </c>
      <c r="D9" s="79">
        <f>SUM(D5:D8)</f>
        <v>510407</v>
      </c>
      <c r="E9" s="79">
        <f>SUM(E5:E8)</f>
        <v>287163</v>
      </c>
      <c r="F9" s="79">
        <f t="shared" ref="F9" si="0">SUM(B9:E9)</f>
        <v>1265121</v>
      </c>
      <c r="G9" s="72"/>
      <c r="H9" s="173"/>
    </row>
    <row r="10" spans="1:8" s="174" customFormat="1" ht="12" customHeight="1" x14ac:dyDescent="0.2">
      <c r="A10" s="170"/>
      <c r="B10" s="171"/>
      <c r="C10" s="172"/>
      <c r="D10" s="170"/>
      <c r="E10" s="170"/>
      <c r="F10" s="170"/>
      <c r="G10" s="72"/>
      <c r="H10" s="173"/>
    </row>
    <row r="11" spans="1:8" s="174" customFormat="1" ht="33.75" customHeight="1" x14ac:dyDescent="0.2">
      <c r="A11" s="7"/>
      <c r="B11" s="8" t="s">
        <v>12</v>
      </c>
      <c r="C11" s="8" t="s">
        <v>201</v>
      </c>
      <c r="D11" s="8" t="s">
        <v>13</v>
      </c>
      <c r="E11" s="8" t="s">
        <v>97</v>
      </c>
      <c r="F11" s="8" t="s">
        <v>0</v>
      </c>
      <c r="G11" s="72"/>
      <c r="H11" s="173"/>
    </row>
    <row r="12" spans="1:8" s="174" customFormat="1" ht="12" customHeight="1" x14ac:dyDescent="0.2">
      <c r="A12" s="175">
        <f>A20-1</f>
        <v>2020</v>
      </c>
      <c r="B12" s="176" t="s">
        <v>2</v>
      </c>
      <c r="C12" s="176" t="s">
        <v>2</v>
      </c>
      <c r="D12" s="176" t="s">
        <v>2</v>
      </c>
      <c r="E12" s="176" t="s">
        <v>2</v>
      </c>
      <c r="F12" s="176" t="s">
        <v>2</v>
      </c>
      <c r="G12" s="72"/>
      <c r="H12" s="173"/>
    </row>
    <row r="13" spans="1:8" s="174" customFormat="1" ht="12" customHeight="1" x14ac:dyDescent="0.2">
      <c r="A13" s="71" t="s">
        <v>5</v>
      </c>
      <c r="B13" s="72">
        <v>45473</v>
      </c>
      <c r="C13" s="72">
        <v>12108</v>
      </c>
      <c r="D13" s="72">
        <v>11983</v>
      </c>
      <c r="E13" s="72">
        <v>64328</v>
      </c>
      <c r="F13" s="72">
        <v>133892</v>
      </c>
      <c r="G13" s="72"/>
      <c r="H13" s="173"/>
    </row>
    <row r="14" spans="1:8" s="174" customFormat="1" ht="12" customHeight="1" x14ac:dyDescent="0.2">
      <c r="A14" s="71" t="s">
        <v>108</v>
      </c>
      <c r="B14" s="72">
        <v>67029</v>
      </c>
      <c r="C14" s="72">
        <v>8667</v>
      </c>
      <c r="D14" s="72">
        <v>28206</v>
      </c>
      <c r="E14" s="72">
        <v>59395</v>
      </c>
      <c r="F14" s="72">
        <v>163297</v>
      </c>
      <c r="G14" s="72"/>
      <c r="H14" s="173"/>
    </row>
    <row r="15" spans="1:8" s="174" customFormat="1" ht="12" customHeight="1" x14ac:dyDescent="0.2">
      <c r="A15" s="71" t="s">
        <v>4</v>
      </c>
      <c r="B15" s="72">
        <v>53547</v>
      </c>
      <c r="C15" s="72">
        <v>6741</v>
      </c>
      <c r="D15" s="72">
        <v>30566</v>
      </c>
      <c r="E15" s="72">
        <v>22472</v>
      </c>
      <c r="F15" s="72">
        <v>113326</v>
      </c>
      <c r="G15" s="72"/>
      <c r="H15" s="173"/>
    </row>
    <row r="16" spans="1:8" s="174" customFormat="1" ht="12" customHeight="1" x14ac:dyDescent="0.2">
      <c r="A16" s="71" t="s">
        <v>6</v>
      </c>
      <c r="B16" s="72">
        <v>239552</v>
      </c>
      <c r="C16" s="72">
        <v>334</v>
      </c>
      <c r="D16" s="72">
        <v>406187</v>
      </c>
      <c r="E16" s="72">
        <v>161058</v>
      </c>
      <c r="F16" s="72">
        <v>807131</v>
      </c>
      <c r="G16" s="72"/>
      <c r="H16" s="173"/>
    </row>
    <row r="17" spans="1:45" s="174" customFormat="1" ht="12" customHeight="1" x14ac:dyDescent="0.2">
      <c r="A17" s="78" t="s">
        <v>107</v>
      </c>
      <c r="B17" s="79">
        <f>SUM(B13:B16)</f>
        <v>405601</v>
      </c>
      <c r="C17" s="79">
        <f>SUM(C13:C16)</f>
        <v>27850</v>
      </c>
      <c r="D17" s="79">
        <f>SUM(D13:D16)</f>
        <v>476942</v>
      </c>
      <c r="E17" s="79">
        <f>SUM(E13:E16)</f>
        <v>307253</v>
      </c>
      <c r="F17" s="79">
        <f t="shared" ref="F17" si="1">SUM(B17:E17)</f>
        <v>1217646</v>
      </c>
      <c r="G17" s="72"/>
      <c r="H17" s="173"/>
    </row>
    <row r="18" spans="1:45" s="174" customFormat="1" ht="12" customHeight="1" x14ac:dyDescent="0.2">
      <c r="A18" s="170"/>
      <c r="B18" s="171"/>
      <c r="C18" s="172"/>
      <c r="D18" s="170"/>
      <c r="E18" s="170"/>
      <c r="F18" s="170"/>
      <c r="G18" s="72"/>
      <c r="H18" s="173"/>
    </row>
    <row r="19" spans="1:45" s="174" customFormat="1" ht="33.75" customHeight="1" x14ac:dyDescent="0.2">
      <c r="A19" s="7"/>
      <c r="B19" s="8" t="s">
        <v>12</v>
      </c>
      <c r="C19" s="8" t="s">
        <v>201</v>
      </c>
      <c r="D19" s="8" t="s">
        <v>13</v>
      </c>
      <c r="E19" s="8" t="s">
        <v>97</v>
      </c>
      <c r="F19" s="8" t="s">
        <v>0</v>
      </c>
      <c r="G19" s="72"/>
      <c r="H19" s="173"/>
    </row>
    <row r="20" spans="1:45" s="174" customFormat="1" ht="12" customHeight="1" x14ac:dyDescent="0.2">
      <c r="A20" s="175">
        <f>A28-1</f>
        <v>2021</v>
      </c>
      <c r="B20" s="176" t="s">
        <v>2</v>
      </c>
      <c r="C20" s="176" t="s">
        <v>2</v>
      </c>
      <c r="D20" s="176" t="s">
        <v>2</v>
      </c>
      <c r="E20" s="176" t="s">
        <v>2</v>
      </c>
      <c r="F20" s="176" t="s">
        <v>2</v>
      </c>
      <c r="G20" s="72"/>
      <c r="H20" s="173"/>
    </row>
    <row r="21" spans="1:45" s="174" customFormat="1" ht="12" customHeight="1" x14ac:dyDescent="0.2">
      <c r="A21" s="71" t="s">
        <v>5</v>
      </c>
      <c r="B21" s="72">
        <v>57306</v>
      </c>
      <c r="C21" s="72">
        <v>13720</v>
      </c>
      <c r="D21" s="72">
        <v>13498</v>
      </c>
      <c r="E21" s="72">
        <v>59274</v>
      </c>
      <c r="F21" s="72">
        <v>143798</v>
      </c>
      <c r="G21" s="72"/>
      <c r="H21" s="173"/>
    </row>
    <row r="22" spans="1:45" s="174" customFormat="1" ht="12" customHeight="1" x14ac:dyDescent="0.2">
      <c r="A22" s="71" t="s">
        <v>108</v>
      </c>
      <c r="B22" s="72">
        <v>94152</v>
      </c>
      <c r="C22" s="72">
        <v>11338</v>
      </c>
      <c r="D22" s="72">
        <v>25712</v>
      </c>
      <c r="E22" s="72">
        <v>76613</v>
      </c>
      <c r="F22" s="72">
        <v>207815</v>
      </c>
      <c r="G22" s="72"/>
      <c r="H22" s="173"/>
    </row>
    <row r="23" spans="1:45" s="174" customFormat="1" ht="12" customHeight="1" x14ac:dyDescent="0.2">
      <c r="A23" s="71" t="s">
        <v>4</v>
      </c>
      <c r="B23" s="72">
        <v>30693</v>
      </c>
      <c r="C23" s="72">
        <v>3932</v>
      </c>
      <c r="D23" s="72">
        <v>22858</v>
      </c>
      <c r="E23" s="72">
        <v>44840</v>
      </c>
      <c r="F23" s="72">
        <v>102323</v>
      </c>
      <c r="G23" s="72"/>
      <c r="H23" s="173"/>
    </row>
    <row r="24" spans="1:45" s="174" customFormat="1" ht="12" customHeight="1" x14ac:dyDescent="0.2">
      <c r="A24" s="71" t="s">
        <v>6</v>
      </c>
      <c r="B24" s="72">
        <v>295632</v>
      </c>
      <c r="C24" s="72">
        <v>6037</v>
      </c>
      <c r="D24" s="72">
        <v>386423</v>
      </c>
      <c r="E24" s="72">
        <v>168628</v>
      </c>
      <c r="F24" s="72">
        <v>856720</v>
      </c>
      <c r="G24" s="72"/>
      <c r="H24" s="173"/>
    </row>
    <row r="25" spans="1:45" s="178" customFormat="1" ht="10.199999999999999" x14ac:dyDescent="0.2">
      <c r="A25" s="78" t="s">
        <v>107</v>
      </c>
      <c r="B25" s="79">
        <f>SUM(B21:B24)</f>
        <v>477783</v>
      </c>
      <c r="C25" s="79">
        <f>SUM(C21:C24)</f>
        <v>35027</v>
      </c>
      <c r="D25" s="79">
        <f>SUM(D21:D24)</f>
        <v>448491</v>
      </c>
      <c r="E25" s="79">
        <f>SUM(E21:E24)</f>
        <v>349355</v>
      </c>
      <c r="F25" s="79">
        <f t="shared" ref="F25" si="2">SUM(B25:E25)</f>
        <v>1310656</v>
      </c>
      <c r="G25" s="72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</row>
    <row r="26" spans="1:45" s="12" customFormat="1" ht="13.2" x14ac:dyDescent="0.25">
      <c r="B26" s="14"/>
      <c r="C26" s="14"/>
      <c r="D26" s="14"/>
      <c r="E26" s="14"/>
      <c r="F26" s="14"/>
      <c r="G26" s="72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45" s="174" customFormat="1" ht="33.75" customHeight="1" x14ac:dyDescent="0.2">
      <c r="A27" s="7"/>
      <c r="B27" s="8" t="s">
        <v>12</v>
      </c>
      <c r="C27" s="8" t="s">
        <v>201</v>
      </c>
      <c r="D27" s="8" t="s">
        <v>13</v>
      </c>
      <c r="E27" s="8" t="s">
        <v>97</v>
      </c>
      <c r="F27" s="8" t="s">
        <v>0</v>
      </c>
      <c r="G27" s="72"/>
      <c r="H27" s="173"/>
    </row>
    <row r="28" spans="1:45" ht="11.25" customHeight="1" x14ac:dyDescent="0.2">
      <c r="A28" s="175">
        <f>A36-1</f>
        <v>2022</v>
      </c>
      <c r="B28" s="176" t="s">
        <v>2</v>
      </c>
      <c r="C28" s="176" t="s">
        <v>2</v>
      </c>
      <c r="D28" s="176" t="s">
        <v>2</v>
      </c>
      <c r="E28" s="176" t="s">
        <v>2</v>
      </c>
      <c r="F28" s="176" t="s">
        <v>2</v>
      </c>
      <c r="H28" s="179"/>
      <c r="I28" s="179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</row>
    <row r="29" spans="1:45" ht="11.25" customHeight="1" x14ac:dyDescent="0.2">
      <c r="A29" s="71" t="s">
        <v>5</v>
      </c>
      <c r="B29" s="72">
        <v>64585</v>
      </c>
      <c r="C29" s="72">
        <v>10414</v>
      </c>
      <c r="D29" s="72">
        <v>11391</v>
      </c>
      <c r="E29" s="72">
        <v>69129</v>
      </c>
      <c r="F29" s="72">
        <v>155519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</row>
    <row r="30" spans="1:45" ht="11.25" customHeight="1" x14ac:dyDescent="0.2">
      <c r="A30" s="71" t="s">
        <v>108</v>
      </c>
      <c r="B30" s="72">
        <v>103601</v>
      </c>
      <c r="C30" s="72">
        <v>16116</v>
      </c>
      <c r="D30" s="72">
        <v>33781</v>
      </c>
      <c r="E30" s="72">
        <v>95066</v>
      </c>
      <c r="F30" s="72">
        <v>248564</v>
      </c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</row>
    <row r="31" spans="1:45" ht="11.25" customHeight="1" x14ac:dyDescent="0.2">
      <c r="A31" s="71" t="s">
        <v>4</v>
      </c>
      <c r="B31" s="72">
        <v>41932</v>
      </c>
      <c r="C31" s="72">
        <v>3274</v>
      </c>
      <c r="D31" s="72">
        <v>19691</v>
      </c>
      <c r="E31" s="72">
        <v>63069</v>
      </c>
      <c r="F31" s="72">
        <v>127966</v>
      </c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</row>
    <row r="32" spans="1:45" ht="11.25" customHeight="1" x14ac:dyDescent="0.2">
      <c r="A32" s="71" t="s">
        <v>6</v>
      </c>
      <c r="B32" s="72">
        <v>405229</v>
      </c>
      <c r="C32" s="72">
        <v>6287</v>
      </c>
      <c r="D32" s="72">
        <v>338078</v>
      </c>
      <c r="E32" s="72">
        <v>195561</v>
      </c>
      <c r="F32" s="72">
        <v>945155</v>
      </c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</row>
    <row r="33" spans="1:26" ht="11.25" customHeight="1" x14ac:dyDescent="0.2">
      <c r="A33" s="78" t="s">
        <v>107</v>
      </c>
      <c r="B33" s="79">
        <f>SUM(B29:B32)</f>
        <v>615347</v>
      </c>
      <c r="C33" s="79">
        <f>SUM(C29:C32)</f>
        <v>36091</v>
      </c>
      <c r="D33" s="79">
        <f>SUM(D29:D32)</f>
        <v>402941</v>
      </c>
      <c r="E33" s="79">
        <f>SUM(E29:E32)</f>
        <v>422825</v>
      </c>
      <c r="F33" s="79">
        <f t="shared" ref="F33" si="3">SUM(B33:E33)</f>
        <v>1477204</v>
      </c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:26" ht="11.25" customHeight="1" x14ac:dyDescent="0.2">
      <c r="B34" s="180"/>
      <c r="C34" s="180"/>
      <c r="D34" s="182"/>
      <c r="E34" s="180"/>
      <c r="F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:26" s="174" customFormat="1" ht="33.75" customHeight="1" x14ac:dyDescent="0.2">
      <c r="A35" s="7"/>
      <c r="B35" s="8" t="s">
        <v>12</v>
      </c>
      <c r="C35" s="8" t="s">
        <v>201</v>
      </c>
      <c r="D35" s="8" t="s">
        <v>13</v>
      </c>
      <c r="E35" s="8" t="s">
        <v>97</v>
      </c>
      <c r="F35" s="8" t="s">
        <v>0</v>
      </c>
      <c r="G35" s="72"/>
      <c r="H35" s="173"/>
    </row>
    <row r="36" spans="1:26" ht="11.25" customHeight="1" x14ac:dyDescent="0.2">
      <c r="A36" s="175">
        <v>2023</v>
      </c>
      <c r="B36" s="176" t="s">
        <v>2</v>
      </c>
      <c r="C36" s="176" t="s">
        <v>2</v>
      </c>
      <c r="D36" s="176" t="s">
        <v>2</v>
      </c>
      <c r="E36" s="176" t="s">
        <v>2</v>
      </c>
      <c r="F36" s="176" t="s">
        <v>2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:26" ht="11.25" customHeight="1" x14ac:dyDescent="0.2">
      <c r="A37" s="71" t="s">
        <v>5</v>
      </c>
      <c r="B37" s="72">
        <v>76722</v>
      </c>
      <c r="C37" s="72">
        <v>10948</v>
      </c>
      <c r="D37" s="72">
        <v>10719</v>
      </c>
      <c r="E37" s="72">
        <v>70551</v>
      </c>
      <c r="F37" s="72">
        <v>168940</v>
      </c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:26" ht="11.25" customHeight="1" x14ac:dyDescent="0.2">
      <c r="A38" s="71" t="s">
        <v>108</v>
      </c>
      <c r="B38" s="72">
        <v>174015</v>
      </c>
      <c r="C38" s="72">
        <v>8650</v>
      </c>
      <c r="D38" s="72">
        <v>25265</v>
      </c>
      <c r="E38" s="72">
        <v>122367</v>
      </c>
      <c r="F38" s="72">
        <v>330297</v>
      </c>
    </row>
    <row r="39" spans="1:26" ht="11.25" customHeight="1" x14ac:dyDescent="0.2">
      <c r="A39" s="71" t="s">
        <v>4</v>
      </c>
      <c r="B39" s="72">
        <v>53078</v>
      </c>
      <c r="C39" s="72">
        <v>2923</v>
      </c>
      <c r="D39" s="72">
        <v>24340</v>
      </c>
      <c r="E39" s="72">
        <v>64586</v>
      </c>
      <c r="F39" s="72">
        <v>144927</v>
      </c>
    </row>
    <row r="40" spans="1:26" ht="11.25" customHeight="1" x14ac:dyDescent="0.2">
      <c r="A40" s="71" t="s">
        <v>6</v>
      </c>
      <c r="B40" s="72">
        <v>542622</v>
      </c>
      <c r="C40" s="72">
        <v>512</v>
      </c>
      <c r="D40" s="72">
        <v>522182</v>
      </c>
      <c r="E40" s="72">
        <v>229960</v>
      </c>
      <c r="F40" s="72">
        <v>1295276</v>
      </c>
    </row>
    <row r="41" spans="1:26" ht="11.25" customHeight="1" x14ac:dyDescent="0.2">
      <c r="A41" s="78" t="s">
        <v>107</v>
      </c>
      <c r="B41" s="79">
        <f>SUM(B37:B40)</f>
        <v>846437</v>
      </c>
      <c r="C41" s="79">
        <f>SUM(C37:C40)</f>
        <v>23033</v>
      </c>
      <c r="D41" s="79">
        <f>SUM(D37:D40)</f>
        <v>582506</v>
      </c>
      <c r="E41" s="79">
        <f>SUM(E37:E40)</f>
        <v>487464</v>
      </c>
      <c r="F41" s="79">
        <f t="shared" ref="F41" si="4">SUM(B41:E41)</f>
        <v>1939440</v>
      </c>
    </row>
    <row r="89" spans="1:1" ht="11.25" customHeight="1" x14ac:dyDescent="0.2">
      <c r="A89" s="183"/>
    </row>
  </sheetData>
  <phoneticPr fontId="6" type="noConversion"/>
  <pageMargins left="0.78740157499999996" right="0.78740157499999996" top="0.984251969" bottom="0.984251969" header="0.5" footer="0.5"/>
  <pageSetup paperSize="9" scale="82" orientation="landscape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4"/>
  <sheetViews>
    <sheetView showGridLines="0" zoomScale="115" zoomScaleNormal="115" workbookViewId="0">
      <selection activeCell="B7" sqref="B7"/>
    </sheetView>
  </sheetViews>
  <sheetFormatPr baseColWidth="10" defaultColWidth="11.44140625" defaultRowHeight="13.2" x14ac:dyDescent="0.25"/>
  <cols>
    <col min="1" max="1" width="35.88671875" style="12" customWidth="1"/>
    <col min="2" max="6" width="7.44140625" style="12" customWidth="1"/>
    <col min="7" max="7" width="2.44140625" style="12" customWidth="1"/>
    <col min="8" max="12" width="7.5546875" style="12" customWidth="1"/>
    <col min="13" max="16384" width="11.44140625" style="12"/>
  </cols>
  <sheetData>
    <row r="1" spans="1:12" x14ac:dyDescent="0.25">
      <c r="A1" s="17" t="str">
        <f>Tabelloversikt!A13</f>
        <v>Tabell 8 Driftsinntekter per totale årsverk og per forskerårsverk 2019-2023. 1000 kr</v>
      </c>
    </row>
    <row r="3" spans="1:12" x14ac:dyDescent="0.25">
      <c r="A3" s="105"/>
      <c r="B3" s="468" t="s">
        <v>183</v>
      </c>
      <c r="C3" s="468"/>
      <c r="D3" s="468"/>
      <c r="E3" s="468"/>
      <c r="F3" s="468"/>
      <c r="G3" s="106"/>
      <c r="H3" s="468" t="s">
        <v>184</v>
      </c>
      <c r="I3" s="468"/>
      <c r="J3" s="468"/>
      <c r="K3" s="468"/>
      <c r="L3" s="468"/>
    </row>
    <row r="4" spans="1:12" x14ac:dyDescent="0.25">
      <c r="A4" s="162" t="s">
        <v>1</v>
      </c>
      <c r="B4" s="184">
        <f>C4-1</f>
        <v>2019</v>
      </c>
      <c r="C4" s="184">
        <f>D4-1</f>
        <v>2020</v>
      </c>
      <c r="D4" s="184">
        <f>E4-1</f>
        <v>2021</v>
      </c>
      <c r="E4" s="184">
        <f>F4-1</f>
        <v>2022</v>
      </c>
      <c r="F4" s="184">
        <v>2023</v>
      </c>
      <c r="G4" s="185"/>
      <c r="H4" s="184">
        <f>I4-1</f>
        <v>2019</v>
      </c>
      <c r="I4" s="184">
        <f>J4-1</f>
        <v>2020</v>
      </c>
      <c r="J4" s="184">
        <f>K4-1</f>
        <v>2021</v>
      </c>
      <c r="K4" s="184">
        <f>L4-1</f>
        <v>2022</v>
      </c>
      <c r="L4" s="184">
        <f>F4</f>
        <v>2023</v>
      </c>
    </row>
    <row r="5" spans="1:12" ht="15" customHeight="1" x14ac:dyDescent="0.25">
      <c r="A5" s="71" t="s">
        <v>5</v>
      </c>
      <c r="B5" s="452">
        <v>1526</v>
      </c>
      <c r="C5" s="452">
        <v>1453</v>
      </c>
      <c r="D5" s="452">
        <v>1491</v>
      </c>
      <c r="E5" s="452">
        <v>1604</v>
      </c>
      <c r="F5" s="452">
        <v>1676</v>
      </c>
      <c r="G5" s="452"/>
      <c r="H5" s="452">
        <v>1980</v>
      </c>
      <c r="I5" s="452">
        <v>1903</v>
      </c>
      <c r="J5" s="452">
        <v>1937</v>
      </c>
      <c r="K5" s="452">
        <v>2102</v>
      </c>
      <c r="L5" s="452">
        <v>2204</v>
      </c>
    </row>
    <row r="6" spans="1:12" ht="15" customHeight="1" x14ac:dyDescent="0.25">
      <c r="A6" s="71" t="s">
        <v>108</v>
      </c>
      <c r="B6" s="452">
        <v>1501</v>
      </c>
      <c r="C6" s="452">
        <v>1489</v>
      </c>
      <c r="D6" s="452">
        <v>1498</v>
      </c>
      <c r="E6" s="452">
        <v>1618</v>
      </c>
      <c r="F6" s="452">
        <v>1706</v>
      </c>
      <c r="G6" s="453"/>
      <c r="H6" s="452">
        <v>2110</v>
      </c>
      <c r="I6" s="452">
        <v>2270</v>
      </c>
      <c r="J6" s="452">
        <v>2261</v>
      </c>
      <c r="K6" s="452">
        <v>2340</v>
      </c>
      <c r="L6" s="452">
        <v>2510</v>
      </c>
    </row>
    <row r="7" spans="1:12" ht="15" customHeight="1" x14ac:dyDescent="0.25">
      <c r="A7" s="71" t="s">
        <v>4</v>
      </c>
      <c r="B7" s="452">
        <v>1503</v>
      </c>
      <c r="C7" s="452">
        <v>1440</v>
      </c>
      <c r="D7" s="452">
        <v>1515</v>
      </c>
      <c r="E7" s="452">
        <v>1646</v>
      </c>
      <c r="F7" s="452">
        <v>1711</v>
      </c>
      <c r="G7" s="452"/>
      <c r="H7" s="452">
        <v>2650</v>
      </c>
      <c r="I7" s="452">
        <v>2694</v>
      </c>
      <c r="J7" s="452">
        <v>2821</v>
      </c>
      <c r="K7" s="452">
        <v>3025</v>
      </c>
      <c r="L7" s="452">
        <v>3133</v>
      </c>
    </row>
    <row r="8" spans="1:12" ht="15" customHeight="1" x14ac:dyDescent="0.25">
      <c r="A8" s="71" t="s">
        <v>6</v>
      </c>
      <c r="B8" s="452">
        <v>1880</v>
      </c>
      <c r="C8" s="452">
        <v>1857</v>
      </c>
      <c r="D8" s="452">
        <v>1814</v>
      </c>
      <c r="E8" s="452">
        <v>1927</v>
      </c>
      <c r="F8" s="452">
        <v>2026</v>
      </c>
      <c r="G8" s="452"/>
      <c r="H8" s="452">
        <v>2723</v>
      </c>
      <c r="I8" s="452">
        <v>2749</v>
      </c>
      <c r="J8" s="452">
        <v>2750</v>
      </c>
      <c r="K8" s="452">
        <v>2929</v>
      </c>
      <c r="L8" s="452">
        <v>2957</v>
      </c>
    </row>
    <row r="9" spans="1:12" ht="15" customHeight="1" x14ac:dyDescent="0.25">
      <c r="A9" s="78" t="s">
        <v>107</v>
      </c>
      <c r="B9" s="454">
        <f>'Tabell 3'!B10/'Tabell 9'!B10</f>
        <v>1676.7696436948681</v>
      </c>
      <c r="C9" s="454">
        <f>'Tabell 3'!C10/'Tabell 9'!B17</f>
        <v>1638.3997976383055</v>
      </c>
      <c r="D9" s="454">
        <f>'Tabell 3'!D10/'Tabell 9'!B24</f>
        <v>1644.8109285513628</v>
      </c>
      <c r="E9" s="454">
        <f>'Tabell 3'!E10/'Tabell 9'!B31</f>
        <v>1760.7817868827537</v>
      </c>
      <c r="F9" s="454">
        <f>'Tabell 3'!F10/'Tabell 9'!B38</f>
        <v>1843.1906122550004</v>
      </c>
      <c r="G9" s="289"/>
      <c r="H9" s="454">
        <f>'Tabell 3'!B10/'Tabell 9'!G10</f>
        <v>2470.9607372920927</v>
      </c>
      <c r="I9" s="454">
        <f>'Tabell 3'!C10/'Tabell 9'!G17</f>
        <v>2504.5355540340693</v>
      </c>
      <c r="J9" s="454">
        <f>'Tabell 3'!D10/'Tabell 9'!G24</f>
        <v>2524.7316883966746</v>
      </c>
      <c r="K9" s="454">
        <f>'Tabell 3'!E10/'Tabell 9'!G31</f>
        <v>2678.7586281614017</v>
      </c>
      <c r="L9" s="454">
        <f>'Tabell 3'!F10/'Tabell 9'!G38</f>
        <v>2767.0098113082913</v>
      </c>
    </row>
    <row r="10" spans="1:12" s="129" customFormat="1" ht="8.25" customHeight="1" x14ac:dyDescent="0.25">
      <c r="A10" s="86"/>
      <c r="B10" s="187"/>
      <c r="C10" s="187"/>
      <c r="D10" s="187"/>
      <c r="E10" s="187"/>
      <c r="F10" s="187"/>
      <c r="G10" s="188"/>
      <c r="H10" s="187"/>
      <c r="I10" s="187"/>
      <c r="J10" s="187"/>
      <c r="K10" s="187"/>
      <c r="L10" s="187"/>
    </row>
    <row r="11" spans="1:12" hidden="1" x14ac:dyDescent="0.25">
      <c r="A11" s="71" t="s">
        <v>109</v>
      </c>
      <c r="B11" s="186" t="e">
        <f>IFERROR(GETPIVOTDATA("Verdi",#REF!,"Årstall",B$4,"Felttype",1,"omradenr",VLOOKUP($A5,'1. Instituttoversikt'!$A$4:$E$63,5,FALSE),"Aggnivå",1),0)/GETPIVOTDATA("Verdi",#REF!,"Årstall",B$4,"Hovednr",401,"Felttype",1,"omradenr",VLOOKUP($A5,'1. Instituttoversikt'!$A$4:$E$63,5,FALSE),"Aggnivå",6)</f>
        <v>#REF!</v>
      </c>
      <c r="C11" s="186" t="e">
        <f>IFERROR(GETPIVOTDATA("Verdi",#REF!,"Årstall",C$4,"Felttype",1,"omradenr",VLOOKUP($A5,'1. Instituttoversikt'!$A$4:$E$63,5,FALSE),"Aggnivå",1),0)/GETPIVOTDATA("Verdi",#REF!,"Årstall",C$4,"Hovednr",401,"Felttype",1,"omradenr",VLOOKUP($A5,'1. Instituttoversikt'!$A$4:$E$63,5,FALSE),"Aggnivå",6)</f>
        <v>#REF!</v>
      </c>
      <c r="D11" s="186" t="e">
        <f>IFERROR(GETPIVOTDATA("Verdi",#REF!,"Årstall",D$4,"Felttype",1,"omradenr",VLOOKUP($A5,'1. Instituttoversikt'!$A$4:$E$63,5,FALSE),"Aggnivå",1),0)/GETPIVOTDATA("Verdi",#REF!,"Årstall",D$4,"Hovednr",401,"Felttype",1,"omradenr",VLOOKUP($A5,'1. Instituttoversikt'!$A$4:$E$63,5,FALSE),"Aggnivå",6)</f>
        <v>#REF!</v>
      </c>
      <c r="E11" s="186" t="e">
        <f>IFERROR(GETPIVOTDATA("Verdi",#REF!,"Årstall",E$4,"Felttype",1,"omradenr",VLOOKUP($A5,'1. Instituttoversikt'!$A$4:$E$63,5,FALSE),"Aggnivå",1),0)/GETPIVOTDATA("Verdi",#REF!,"Årstall",E$4,"Hovednr",401,"Felttype",1,"omradenr",VLOOKUP($A5,'1. Instituttoversikt'!$A$4:$E$63,5,FALSE),"Aggnivå",6)</f>
        <v>#REF!</v>
      </c>
      <c r="F11" s="186" t="e">
        <f>IFERROR(GETPIVOTDATA("Verdi",#REF!,"Årstall",F$4,"Felttype",1,"omradenr",VLOOKUP($A5,'1. Instituttoversikt'!$A$4:$E$63,5,FALSE),"Aggnivå",1),0)/GETPIVOTDATA("Verdi",#REF!,"Årstall",F$4,"Hovednr",401,"Felttype",1,"omradenr",VLOOKUP($A5,'1. Instituttoversikt'!$A$4:$E$63,5,FALSE),"Aggnivå",6)</f>
        <v>#REF!</v>
      </c>
      <c r="G11" s="112"/>
      <c r="H11" s="186" t="e">
        <f>IFERROR(GETPIVOTDATA("Verdi",#REF!,"Årstall",B$4,"Felttype",1,"omradenr",VLOOKUP($A5,'1. Instituttoversikt'!$A$4:$E$63,5,FALSE),"Aggnivå",1),0)/(GETPIVOTDATA("Verdi",#REF!,"Finansieringkildekategori",,"Årstall",B$4,"Hovednr",401,"Typenr",411,"Felttype",1,"omradenr",VLOOKUP($A5,'1. Instituttoversikt'!$A$4:$E$63,5,FALSE),"Aggnivå",6,"PostKildestruktur.Kildenr",4002)+GETPIVOTDATA("Verdi",#REF!,"Finansieringkildekategori",,"Årstall",B$4,"Hovednr",401,"Typenr",411,"Felttype",1,"omradenr",VLOOKUP($A5,'1. Instituttoversikt'!$A$4:$E$63,5,FALSE),"Aggnivå",6,"PostKildestruktur.Kildenr",4001))</f>
        <v>#REF!</v>
      </c>
      <c r="I11" s="186" t="e">
        <f>IFERROR(GETPIVOTDATA("Verdi",#REF!,"Årstall",C$4,"Felttype",1,"omradenr",VLOOKUP($A5,'1. Instituttoversikt'!$A$4:$E$63,5,FALSE),"Aggnivå",1),0)/(GETPIVOTDATA("Verdi",#REF!,"Finansieringkildekategori",,"Årstall",C$4,"Hovednr",401,"Typenr",411,"Felttype",1,"omradenr",VLOOKUP($A5,'1. Instituttoversikt'!$A$4:$E$63,5,FALSE),"Aggnivå",6,"PostKildestruktur.Kildenr",4002)+GETPIVOTDATA("Verdi",#REF!,"Finansieringkildekategori",,"Årstall",C$4,"Hovednr",401,"Typenr",411,"Felttype",1,"omradenr",VLOOKUP($A5,'1. Instituttoversikt'!$A$4:$E$63,5,FALSE),"Aggnivå",6,"PostKildestruktur.Kildenr",4001))</f>
        <v>#REF!</v>
      </c>
      <c r="J11" s="186" t="e">
        <f>IFERROR(GETPIVOTDATA("Verdi",#REF!,"Årstall",D$4,"Felttype",1,"omradenr",VLOOKUP($A5,'1. Instituttoversikt'!$A$4:$E$63,5,FALSE),"Aggnivå",1),0)/(GETPIVOTDATA("Verdi",#REF!,"Finansieringkildekategori",,"Årstall",D$4,"Hovednr",401,"Typenr",411,"Felttype",1,"omradenr",VLOOKUP($A5,'1. Instituttoversikt'!$A$4:$E$63,5,FALSE),"Aggnivå",6,"PostKildestruktur.Kildenr",4002)+GETPIVOTDATA("Verdi",#REF!,"Finansieringkildekategori",,"Årstall",D$4,"Hovednr",401,"Typenr",411,"Felttype",1,"omradenr",VLOOKUP($A5,'1. Instituttoversikt'!$A$4:$E$63,5,FALSE),"Aggnivå",6,"PostKildestruktur.Kildenr",4001))</f>
        <v>#REF!</v>
      </c>
      <c r="K11" s="186" t="e">
        <f>IFERROR(GETPIVOTDATA("Verdi",#REF!,"Årstall",E$4,"Felttype",1,"omradenr",VLOOKUP($A5,'1. Instituttoversikt'!$A$4:$E$63,5,FALSE),"Aggnivå",1),0)/(GETPIVOTDATA("Verdi",#REF!,"Finansieringkildekategori",,"Årstall",E$4,"Hovednr",401,"Typenr",411,"Felttype",1,"omradenr",VLOOKUP($A5,'1. Instituttoversikt'!$A$4:$E$63,5,FALSE),"Aggnivå",6,"PostKildestruktur.Kildenr",4002)+GETPIVOTDATA("Verdi",#REF!,"Finansieringkildekategori",,"Årstall",E$4,"Hovednr",401,"Typenr",411,"Felttype",1,"omradenr",VLOOKUP($A5,'1. Instituttoversikt'!$A$4:$E$63,5,FALSE),"Aggnivå",6,"PostKildestruktur.Kildenr",4001))</f>
        <v>#REF!</v>
      </c>
      <c r="L11" s="186" t="e">
        <f>IFERROR(GETPIVOTDATA("Verdi",#REF!,"Årstall",F$4,"Felttype",1,"omradenr",VLOOKUP($A5,'1. Instituttoversikt'!$A$4:$E$63,5,FALSE),"Aggnivå",1),0)/(GETPIVOTDATA("Verdi",#REF!,"Finansieringkildekategori",,"Årstall",F$4,"Hovednr",401,"Typenr",411,"Felttype",1,"omradenr",VLOOKUP($A5,'1. Instituttoversikt'!$A$4:$E$63,5,FALSE),"Aggnivå",6,"PostKildestruktur.Kildenr",4002)+GETPIVOTDATA("Verdi",#REF!,"Finansieringkildekategori",,"Årstall",F$4,"Hovednr",401,"Typenr",411,"Felttype",1,"omradenr",VLOOKUP($A5,'1. Instituttoversikt'!$A$4:$E$63,5,FALSE),"Aggnivå",6,"PostKildestruktur.Kildenr",4001))</f>
        <v>#REF!</v>
      </c>
    </row>
    <row r="12" spans="1:12" hidden="1" x14ac:dyDescent="0.25">
      <c r="A12" s="71" t="s">
        <v>176</v>
      </c>
      <c r="B12" s="186"/>
      <c r="C12" s="186"/>
      <c r="D12" s="186"/>
      <c r="E12" s="186" t="e">
        <f>IFERROR(GETPIVOTDATA("Verdi",#REF!,"Årstall",E$4,"Felttype",1,"omradenr",VLOOKUP($A6,'1. Instituttoversikt'!$A$4:$E$63,5,FALSE),"Aggnivå",1),0)/GETPIVOTDATA("Verdi",#REF!,"Årstall",E$4,"Hovednr",401,"Felttype",1,"omradenr",VLOOKUP($A6,'1. Instituttoversikt'!$A$4:$E$63,5,FALSE),"Aggnivå",6)</f>
        <v>#REF!</v>
      </c>
      <c r="F12" s="186" t="e">
        <f>IFERROR(GETPIVOTDATA("Verdi",#REF!,"Årstall",F$4,"Felttype",1,"omradenr",VLOOKUP($A6,'1. Instituttoversikt'!$A$4:$E$63,5,FALSE),"Aggnivå",1),0)/GETPIVOTDATA("Verdi",#REF!,"Årstall",F$4,"Hovednr",401,"Felttype",1,"omradenr",VLOOKUP($A6,'1. Instituttoversikt'!$A$4:$E$63,5,FALSE),"Aggnivå",6)</f>
        <v>#REF!</v>
      </c>
      <c r="G12" s="112"/>
      <c r="H12" s="186" t="e">
        <f>IFERROR(GETPIVOTDATA("Verdi",#REF!,"Årstall",B$4,"Felttype",1,"omradenr",VLOOKUP($A6,'1. Instituttoversikt'!$A$4:$E$63,5,FALSE),"Aggnivå",1),0)/(GETPIVOTDATA("Verdi",#REF!,"Finansieringkildekategori",,"Årstall",B$4,"Hovednr",401,"Typenr",411,"Felttype",1,"omradenr",VLOOKUP($A6,'1. Instituttoversikt'!$A$4:$E$63,5,FALSE),"Aggnivå",6,"PostKildestruktur.Kildenr",4002)+GETPIVOTDATA("Verdi",#REF!,"Finansieringkildekategori",,"Årstall",B$4,"Hovednr",401,"Typenr",411,"Felttype",1,"omradenr",VLOOKUP($A6,'1. Instituttoversikt'!$A$4:$E$63,5,FALSE),"Aggnivå",6,"PostKildestruktur.Kildenr",4001))</f>
        <v>#REF!</v>
      </c>
      <c r="I12" s="186" t="e">
        <f>IFERROR(GETPIVOTDATA("Verdi",#REF!,"Årstall",C$4,"Felttype",1,"omradenr",VLOOKUP($A6,'1. Instituttoversikt'!$A$4:$E$63,5,FALSE),"Aggnivå",1),0)/(GETPIVOTDATA("Verdi",#REF!,"Finansieringkildekategori",,"Årstall",C$4,"Hovednr",401,"Typenr",411,"Felttype",1,"omradenr",VLOOKUP($A6,'1. Instituttoversikt'!$A$4:$E$63,5,FALSE),"Aggnivå",6,"PostKildestruktur.Kildenr",4002)+GETPIVOTDATA("Verdi",#REF!,"Finansieringkildekategori",,"Årstall",C$4,"Hovednr",401,"Typenr",411,"Felttype",1,"omradenr",VLOOKUP($A6,'1. Instituttoversikt'!$A$4:$E$63,5,FALSE),"Aggnivå",6,"PostKildestruktur.Kildenr",4001))</f>
        <v>#REF!</v>
      </c>
      <c r="J12" s="186" t="e">
        <f>IFERROR(GETPIVOTDATA("Verdi",#REF!,"Årstall",D$4,"Felttype",1,"omradenr",VLOOKUP($A6,'1. Instituttoversikt'!$A$4:$E$63,5,FALSE),"Aggnivå",1),0)/(GETPIVOTDATA("Verdi",#REF!,"Finansieringkildekategori",,"Årstall",D$4,"Hovednr",401,"Typenr",411,"Felttype",1,"omradenr",VLOOKUP($A6,'1. Instituttoversikt'!$A$4:$E$63,5,FALSE),"Aggnivå",6,"PostKildestruktur.Kildenr",4002)+GETPIVOTDATA("Verdi",#REF!,"Finansieringkildekategori",,"Årstall",D$4,"Hovednr",401,"Typenr",411,"Felttype",1,"omradenr",VLOOKUP($A6,'1. Instituttoversikt'!$A$4:$E$63,5,FALSE),"Aggnivå",6,"PostKildestruktur.Kildenr",4001))</f>
        <v>#REF!</v>
      </c>
      <c r="K12" s="186" t="e">
        <f>IFERROR(GETPIVOTDATA("Verdi",#REF!,"Årstall",E$4,"Felttype",1,"omradenr",VLOOKUP($A6,'1. Instituttoversikt'!$A$4:$E$63,5,FALSE),"Aggnivå",1),0)/(GETPIVOTDATA("Verdi",#REF!,"Finansieringkildekategori",,"Årstall",E$4,"Hovednr",401,"Typenr",411,"Felttype",1,"omradenr",VLOOKUP($A6,'1. Instituttoversikt'!$A$4:$E$63,5,FALSE),"Aggnivå",6,"PostKildestruktur.Kildenr",4002)+GETPIVOTDATA("Verdi",#REF!,"Finansieringkildekategori",,"Årstall",E$4,"Hovednr",401,"Typenr",411,"Felttype",1,"omradenr",VLOOKUP($A6,'1. Instituttoversikt'!$A$4:$E$63,5,FALSE),"Aggnivå",6,"PostKildestruktur.Kildenr",4001))</f>
        <v>#REF!</v>
      </c>
      <c r="L12" s="186" t="e">
        <f>IFERROR(GETPIVOTDATA("Verdi",#REF!,"Årstall",F$4,"Felttype",1,"omradenr",VLOOKUP($A6,'1. Instituttoversikt'!$A$4:$E$63,5,FALSE),"Aggnivå",1),0)/(GETPIVOTDATA("Verdi",#REF!,"Finansieringkildekategori",,"Årstall",F$4,"Hovednr",401,"Typenr",411,"Felttype",1,"omradenr",VLOOKUP($A6,'1. Instituttoversikt'!$A$4:$E$63,5,FALSE),"Aggnivå",6,"PostKildestruktur.Kildenr",4002)+GETPIVOTDATA("Verdi",#REF!,"Finansieringkildekategori",,"Årstall",F$4,"Hovednr",401,"Typenr",411,"Felttype",1,"omradenr",VLOOKUP($A6,'1. Instituttoversikt'!$A$4:$E$63,5,FALSE),"Aggnivå",6,"PostKildestruktur.Kildenr",4001))</f>
        <v>#REF!</v>
      </c>
    </row>
    <row r="13" spans="1:12" hidden="1" x14ac:dyDescent="0.25">
      <c r="A13" s="71" t="s">
        <v>110</v>
      </c>
      <c r="B13" s="186" t="e">
        <f>IFERROR(GETPIVOTDATA("Verdi",#REF!,"Årstall",B$4,"Felttype",1,"omradenr",VLOOKUP($A7,'1. Instituttoversikt'!$A$4:$E$63,5,FALSE),"Aggnivå",1),0)/GETPIVOTDATA("Verdi",#REF!,"Årstall",B$4,"Hovednr",401,"Felttype",1,"omradenr",VLOOKUP($A7,'1. Instituttoversikt'!$A$4:$E$63,5,FALSE),"Aggnivå",6)</f>
        <v>#REF!</v>
      </c>
      <c r="C13" s="186" t="e">
        <f>IFERROR(GETPIVOTDATA("Verdi",#REF!,"Årstall",C$4,"Felttype",1,"omradenr",VLOOKUP($A7,'1. Instituttoversikt'!$A$4:$E$63,5,FALSE),"Aggnivå",1),0)/GETPIVOTDATA("Verdi",#REF!,"Årstall",C$4,"Hovednr",401,"Felttype",1,"omradenr",VLOOKUP($A7,'1. Instituttoversikt'!$A$4:$E$63,5,FALSE),"Aggnivå",6)</f>
        <v>#REF!</v>
      </c>
      <c r="D13" s="186" t="e">
        <f>IFERROR(GETPIVOTDATA("Verdi",#REF!,"Årstall",D$4,"Felttype",1,"omradenr",VLOOKUP($A7,'1. Instituttoversikt'!$A$4:$E$63,5,FALSE),"Aggnivå",1),0)/GETPIVOTDATA("Verdi",#REF!,"Årstall",D$4,"Hovednr",401,"Felttype",1,"omradenr",VLOOKUP($A7,'1. Instituttoversikt'!$A$4:$E$63,5,FALSE),"Aggnivå",6)</f>
        <v>#REF!</v>
      </c>
      <c r="E13" s="186" t="e">
        <f>IFERROR(GETPIVOTDATA("Verdi",#REF!,"Årstall",E$4,"Felttype",1,"omradenr",VLOOKUP($A7,'1. Instituttoversikt'!$A$4:$E$63,5,FALSE),"Aggnivå",1),0)/GETPIVOTDATA("Verdi",#REF!,"Årstall",E$4,"Hovednr",401,"Felttype",1,"omradenr",VLOOKUP($A7,'1. Instituttoversikt'!$A$4:$E$63,5,FALSE),"Aggnivå",6)</f>
        <v>#REF!</v>
      </c>
      <c r="F13" s="186" t="e">
        <f>IFERROR(GETPIVOTDATA("Verdi",#REF!,"Årstall",F$4,"Felttype",1,"omradenr",VLOOKUP($A7,'1. Instituttoversikt'!$A$4:$E$63,5,FALSE),"Aggnivå",1),0)/GETPIVOTDATA("Verdi",#REF!,"Årstall",F$4,"Hovednr",401,"Felttype",1,"omradenr",VLOOKUP($A7,'1. Instituttoversikt'!$A$4:$E$63,5,FALSE),"Aggnivå",6)</f>
        <v>#REF!</v>
      </c>
      <c r="G13" s="112"/>
      <c r="H13" s="186" t="e">
        <f>IFERROR(GETPIVOTDATA("Verdi",#REF!,"Årstall",B$4,"Felttype",1,"omradenr",VLOOKUP($A7,'1. Instituttoversikt'!$A$4:$E$63,5,FALSE),"Aggnivå",1),0)/(GETPIVOTDATA("Verdi",#REF!,"Finansieringkildekategori",,"Årstall",B$4,"Hovednr",401,"Typenr",411,"Felttype",1,"omradenr",VLOOKUP($A7,'1. Instituttoversikt'!$A$4:$E$63,5,FALSE),"Aggnivå",6,"PostKildestruktur.Kildenr",4002)+GETPIVOTDATA("Verdi",#REF!,"Finansieringkildekategori",,"Årstall",B$4,"Hovednr",401,"Typenr",411,"Felttype",1,"omradenr",VLOOKUP($A7,'1. Instituttoversikt'!$A$4:$E$63,5,FALSE),"Aggnivå",6,"PostKildestruktur.Kildenr",4001))</f>
        <v>#REF!</v>
      </c>
      <c r="I13" s="186" t="e">
        <f>IFERROR(GETPIVOTDATA("Verdi",#REF!,"Årstall",C$4,"Felttype",1,"omradenr",VLOOKUP($A7,'1. Instituttoversikt'!$A$4:$E$63,5,FALSE),"Aggnivå",1),0)/(GETPIVOTDATA("Verdi",#REF!,"Finansieringkildekategori",,"Årstall",C$4,"Hovednr",401,"Typenr",411,"Felttype",1,"omradenr",VLOOKUP($A7,'1. Instituttoversikt'!$A$4:$E$63,5,FALSE),"Aggnivå",6,"PostKildestruktur.Kildenr",4002)+GETPIVOTDATA("Verdi",#REF!,"Finansieringkildekategori",,"Årstall",C$4,"Hovednr",401,"Typenr",411,"Felttype",1,"omradenr",VLOOKUP($A7,'1. Instituttoversikt'!$A$4:$E$63,5,FALSE),"Aggnivå",6,"PostKildestruktur.Kildenr",4001))</f>
        <v>#REF!</v>
      </c>
      <c r="J13" s="186" t="e">
        <f>IFERROR(GETPIVOTDATA("Verdi",#REF!,"Årstall",D$4,"Felttype",1,"omradenr",VLOOKUP($A7,'1. Instituttoversikt'!$A$4:$E$63,5,FALSE),"Aggnivå",1),0)/(GETPIVOTDATA("Verdi",#REF!,"Finansieringkildekategori",,"Årstall",D$4,"Hovednr",401,"Typenr",411,"Felttype",1,"omradenr",VLOOKUP($A7,'1. Instituttoversikt'!$A$4:$E$63,5,FALSE),"Aggnivå",6,"PostKildestruktur.Kildenr",4002)+GETPIVOTDATA("Verdi",#REF!,"Finansieringkildekategori",,"Årstall",D$4,"Hovednr",401,"Typenr",411,"Felttype",1,"omradenr",VLOOKUP($A7,'1. Instituttoversikt'!$A$4:$E$63,5,FALSE),"Aggnivå",6,"PostKildestruktur.Kildenr",4001))</f>
        <v>#REF!</v>
      </c>
      <c r="K13" s="186" t="e">
        <f>IFERROR(GETPIVOTDATA("Verdi",#REF!,"Årstall",E$4,"Felttype",1,"omradenr",VLOOKUP($A7,'1. Instituttoversikt'!$A$4:$E$63,5,FALSE),"Aggnivå",1),0)/(GETPIVOTDATA("Verdi",#REF!,"Finansieringkildekategori",,"Årstall",E$4,"Hovednr",401,"Typenr",411,"Felttype",1,"omradenr",VLOOKUP($A7,'1. Instituttoversikt'!$A$4:$E$63,5,FALSE),"Aggnivå",6,"PostKildestruktur.Kildenr",4002)+GETPIVOTDATA("Verdi",#REF!,"Finansieringkildekategori",,"Årstall",E$4,"Hovednr",401,"Typenr",411,"Felttype",1,"omradenr",VLOOKUP($A7,'1. Instituttoversikt'!$A$4:$E$63,5,FALSE),"Aggnivå",6,"PostKildestruktur.Kildenr",4001))</f>
        <v>#REF!</v>
      </c>
      <c r="L13" s="186" t="e">
        <f>IFERROR(GETPIVOTDATA("Verdi",#REF!,"Årstall",F$4,"Felttype",1,"omradenr",VLOOKUP($A7,'1. Instituttoversikt'!$A$4:$E$63,5,FALSE),"Aggnivå",1),0)/(GETPIVOTDATA("Verdi",#REF!,"Finansieringkildekategori",,"Årstall",F$4,"Hovednr",401,"Typenr",411,"Felttype",1,"omradenr",VLOOKUP($A7,'1. Instituttoversikt'!$A$4:$E$63,5,FALSE),"Aggnivå",6,"PostKildestruktur.Kildenr",4002)+GETPIVOTDATA("Verdi",#REF!,"Finansieringkildekategori",,"Årstall",F$4,"Hovednr",401,"Typenr",411,"Felttype",1,"omradenr",VLOOKUP($A7,'1. Instituttoversikt'!$A$4:$E$63,5,FALSE),"Aggnivå",6,"PostKildestruktur.Kildenr",4001))</f>
        <v>#REF!</v>
      </c>
    </row>
    <row r="14" spans="1:12" hidden="1" x14ac:dyDescent="0.25">
      <c r="A14" s="71" t="s">
        <v>111</v>
      </c>
      <c r="B14" s="186" t="e">
        <f>IFERROR(GETPIVOTDATA("Verdi",#REF!,"Årstall",B$4,"Felttype",1,"omradenr",VLOOKUP($A8,'1. Instituttoversikt'!$A$4:$E$63,5,FALSE),"Aggnivå",1),0)/GETPIVOTDATA("Verdi",#REF!,"Årstall",B$4,"Hovednr",401,"Felttype",1,"omradenr",VLOOKUP($A8,'1. Instituttoversikt'!$A$4:$E$63,5,FALSE),"Aggnivå",6)</f>
        <v>#REF!</v>
      </c>
      <c r="C14" s="186" t="e">
        <f>IFERROR(GETPIVOTDATA("Verdi",#REF!,"Årstall",C$4,"Felttype",1,"omradenr",VLOOKUP($A8,'1. Instituttoversikt'!$A$4:$E$63,5,FALSE),"Aggnivå",1),0)/GETPIVOTDATA("Verdi",#REF!,"Årstall",C$4,"Hovednr",401,"Felttype",1,"omradenr",VLOOKUP($A8,'1. Instituttoversikt'!$A$4:$E$63,5,FALSE),"Aggnivå",6)</f>
        <v>#REF!</v>
      </c>
      <c r="D14" s="186" t="e">
        <f>IFERROR(GETPIVOTDATA("Verdi",#REF!,"Årstall",D$4,"Felttype",1,"omradenr",VLOOKUP($A8,'1. Instituttoversikt'!$A$4:$E$63,5,FALSE),"Aggnivå",1),0)/GETPIVOTDATA("Verdi",#REF!,"Årstall",D$4,"Hovednr",401,"Felttype",1,"omradenr",VLOOKUP($A8,'1. Instituttoversikt'!$A$4:$E$63,5,FALSE),"Aggnivå",6)</f>
        <v>#REF!</v>
      </c>
      <c r="E14" s="186" t="e">
        <f>IFERROR(GETPIVOTDATA("Verdi",#REF!,"Årstall",E$4,"Felttype",1,"omradenr",VLOOKUP($A8,'1. Instituttoversikt'!$A$4:$E$63,5,FALSE),"Aggnivå",1),0)/GETPIVOTDATA("Verdi",#REF!,"Årstall",E$4,"Hovednr",401,"Felttype",1,"omradenr",VLOOKUP($A8,'1. Instituttoversikt'!$A$4:$E$63,5,FALSE),"Aggnivå",6)</f>
        <v>#REF!</v>
      </c>
      <c r="F14" s="186" t="e">
        <f>IFERROR(GETPIVOTDATA("Verdi",#REF!,"Årstall",F$4,"Felttype",1,"omradenr",VLOOKUP($A8,'1. Instituttoversikt'!$A$4:$E$63,5,FALSE),"Aggnivå",1),0)/GETPIVOTDATA("Verdi",#REF!,"Årstall",F$4,"Hovednr",401,"Felttype",1,"omradenr",VLOOKUP($A8,'1. Instituttoversikt'!$A$4:$E$63,5,FALSE),"Aggnivå",6)</f>
        <v>#REF!</v>
      </c>
      <c r="G14" s="112"/>
      <c r="H14" s="186" t="e">
        <f>IFERROR(GETPIVOTDATA("Verdi",#REF!,"Årstall",B$4,"Felttype",1,"omradenr",VLOOKUP($A8,'1. Instituttoversikt'!$A$4:$E$63,5,FALSE),"Aggnivå",1),0)/(GETPIVOTDATA("Verdi",#REF!,"Finansieringkildekategori",,"Årstall",B$4,"Hovednr",401,"Typenr",411,"Felttype",1,"omradenr",VLOOKUP($A8,'1. Instituttoversikt'!$A$4:$E$63,5,FALSE),"Aggnivå",6,"PostKildestruktur.Kildenr",4002)+GETPIVOTDATA("Verdi",#REF!,"Finansieringkildekategori",,"Årstall",B$4,"Hovednr",401,"Typenr",411,"Felttype",1,"omradenr",VLOOKUP($A8,'1. Instituttoversikt'!$A$4:$E$63,5,FALSE),"Aggnivå",6,"PostKildestruktur.Kildenr",4001))</f>
        <v>#REF!</v>
      </c>
      <c r="I14" s="186" t="e">
        <f>IFERROR(GETPIVOTDATA("Verdi",#REF!,"Årstall",C$4,"Felttype",1,"omradenr",VLOOKUP($A8,'1. Instituttoversikt'!$A$4:$E$63,5,FALSE),"Aggnivå",1),0)/(GETPIVOTDATA("Verdi",#REF!,"Finansieringkildekategori",,"Årstall",C$4,"Hovednr",401,"Typenr",411,"Felttype",1,"omradenr",VLOOKUP($A8,'1. Instituttoversikt'!$A$4:$E$63,5,FALSE),"Aggnivå",6,"PostKildestruktur.Kildenr",4002)+GETPIVOTDATA("Verdi",#REF!,"Finansieringkildekategori",,"Årstall",C$4,"Hovednr",401,"Typenr",411,"Felttype",1,"omradenr",VLOOKUP($A8,'1. Instituttoversikt'!$A$4:$E$63,5,FALSE),"Aggnivå",6,"PostKildestruktur.Kildenr",4001))</f>
        <v>#REF!</v>
      </c>
      <c r="J14" s="186" t="e">
        <f>IFERROR(GETPIVOTDATA("Verdi",#REF!,"Årstall",D$4,"Felttype",1,"omradenr",VLOOKUP($A8,'1. Instituttoversikt'!$A$4:$E$63,5,FALSE),"Aggnivå",1),0)/(GETPIVOTDATA("Verdi",#REF!,"Finansieringkildekategori",,"Årstall",D$4,"Hovednr",401,"Typenr",411,"Felttype",1,"omradenr",VLOOKUP($A8,'1. Instituttoversikt'!$A$4:$E$63,5,FALSE),"Aggnivå",6,"PostKildestruktur.Kildenr",4002)+GETPIVOTDATA("Verdi",#REF!,"Finansieringkildekategori",,"Årstall",D$4,"Hovednr",401,"Typenr",411,"Felttype",1,"omradenr",VLOOKUP($A8,'1. Instituttoversikt'!$A$4:$E$63,5,FALSE),"Aggnivå",6,"PostKildestruktur.Kildenr",4001))</f>
        <v>#REF!</v>
      </c>
      <c r="K14" s="186" t="e">
        <f>IFERROR(GETPIVOTDATA("Verdi",#REF!,"Årstall",E$4,"Felttype",1,"omradenr",VLOOKUP($A8,'1. Instituttoversikt'!$A$4:$E$63,5,FALSE),"Aggnivå",1),0)/(GETPIVOTDATA("Verdi",#REF!,"Finansieringkildekategori",,"Årstall",E$4,"Hovednr",401,"Typenr",411,"Felttype",1,"omradenr",VLOOKUP($A8,'1. Instituttoversikt'!$A$4:$E$63,5,FALSE),"Aggnivå",6,"PostKildestruktur.Kildenr",4002)+GETPIVOTDATA("Verdi",#REF!,"Finansieringkildekategori",,"Årstall",E$4,"Hovednr",401,"Typenr",411,"Felttype",1,"omradenr",VLOOKUP($A8,'1. Instituttoversikt'!$A$4:$E$63,5,FALSE),"Aggnivå",6,"PostKildestruktur.Kildenr",4001))</f>
        <v>#REF!</v>
      </c>
      <c r="L14" s="186" t="e">
        <f>IFERROR(GETPIVOTDATA("Verdi",#REF!,"Årstall",F$4,"Felttype",1,"omradenr",VLOOKUP($A8,'1. Instituttoversikt'!$A$4:$E$63,5,FALSE),"Aggnivå",1),0)/(GETPIVOTDATA("Verdi",#REF!,"Finansieringkildekategori",,"Årstall",F$4,"Hovednr",401,"Typenr",411,"Felttype",1,"omradenr",VLOOKUP($A8,'1. Instituttoversikt'!$A$4:$E$63,5,FALSE),"Aggnivå",6,"PostKildestruktur.Kildenr",4002)+GETPIVOTDATA("Verdi",#REF!,"Finansieringkildekategori",,"Årstall",F$4,"Hovednr",401,"Typenr",411,"Felttype",1,"omradenr",VLOOKUP($A8,'1. Instituttoversikt'!$A$4:$E$63,5,FALSE),"Aggnivå",6,"PostKildestruktur.Kildenr",4001))</f>
        <v>#REF!</v>
      </c>
    </row>
    <row r="15" spans="1:12" hidden="1" x14ac:dyDescent="0.25">
      <c r="A15" s="71"/>
      <c r="B15" s="112"/>
      <c r="C15" s="112"/>
      <c r="D15" s="112"/>
      <c r="E15" s="112"/>
      <c r="F15" s="112"/>
      <c r="G15" s="112"/>
      <c r="H15" s="113"/>
      <c r="I15" s="113"/>
      <c r="J15" s="121"/>
      <c r="K15" s="121"/>
      <c r="L15" s="122"/>
    </row>
    <row r="16" spans="1:12" ht="13.8" hidden="1" thickBot="1" x14ac:dyDescent="0.3">
      <c r="A16" s="124" t="s">
        <v>11</v>
      </c>
      <c r="B16" s="125" t="e">
        <f>B9+#REF!</f>
        <v>#REF!</v>
      </c>
      <c r="C16" s="125" t="e">
        <f>C9+#REF!</f>
        <v>#REF!</v>
      </c>
      <c r="D16" s="125" t="e">
        <f>D9+#REF!</f>
        <v>#REF!</v>
      </c>
      <c r="E16" s="125" t="e">
        <f>E9+#REF!</f>
        <v>#REF!</v>
      </c>
      <c r="F16" s="125" t="e">
        <f>F9+#REF!</f>
        <v>#REF!</v>
      </c>
      <c r="G16" s="125"/>
      <c r="H16" s="125" t="e">
        <f>H9+#REF!</f>
        <v>#REF!</v>
      </c>
      <c r="I16" s="125" t="e">
        <f>I9+#REF!</f>
        <v>#REF!</v>
      </c>
      <c r="J16" s="125" t="e">
        <f>J9+#REF!</f>
        <v>#REF!</v>
      </c>
      <c r="K16" s="125" t="e">
        <f>K9+#REF!</f>
        <v>#REF!</v>
      </c>
      <c r="L16" s="125" t="e">
        <f>L9+#REF!</f>
        <v>#REF!</v>
      </c>
    </row>
    <row r="17" spans="2:17" hidden="1" x14ac:dyDescent="0.25"/>
    <row r="19" spans="2:17" x14ac:dyDescent="0.25">
      <c r="B19" s="190"/>
      <c r="H19" s="376"/>
      <c r="I19" s="376"/>
      <c r="J19" s="376"/>
      <c r="K19" s="376"/>
      <c r="L19" s="376"/>
      <c r="M19" s="112"/>
      <c r="N19" s="112"/>
      <c r="O19" s="112"/>
      <c r="P19" s="112"/>
      <c r="Q19" s="112"/>
    </row>
    <row r="20" spans="2:17" x14ac:dyDescent="0.25">
      <c r="B20" s="190"/>
      <c r="H20" s="376"/>
      <c r="I20" s="376"/>
      <c r="J20" s="376"/>
      <c r="K20" s="376"/>
      <c r="L20" s="376"/>
      <c r="M20" s="112"/>
      <c r="N20" s="112"/>
      <c r="O20" s="112"/>
      <c r="P20" s="112"/>
      <c r="Q20" s="112"/>
    </row>
    <row r="21" spans="2:17" x14ac:dyDescent="0.25">
      <c r="B21" s="190"/>
      <c r="H21" s="376"/>
      <c r="I21" s="376"/>
      <c r="J21" s="376"/>
      <c r="K21" s="376"/>
      <c r="L21" s="376"/>
      <c r="M21" s="112"/>
      <c r="N21" s="112"/>
      <c r="O21" s="112"/>
      <c r="P21" s="112"/>
      <c r="Q21" s="112"/>
    </row>
    <row r="22" spans="2:17" x14ac:dyDescent="0.25">
      <c r="B22" s="190"/>
      <c r="H22" s="376"/>
      <c r="I22" s="376"/>
      <c r="J22" s="376"/>
      <c r="K22" s="376"/>
      <c r="L22" s="376"/>
      <c r="M22" s="112"/>
      <c r="N22" s="112"/>
      <c r="O22" s="112"/>
      <c r="P22" s="112"/>
      <c r="Q22" s="112"/>
    </row>
    <row r="23" spans="2:17" s="129" customFormat="1" x14ac:dyDescent="0.25">
      <c r="B23" s="189"/>
      <c r="H23" s="187"/>
      <c r="I23" s="187"/>
      <c r="J23" s="187"/>
      <c r="K23" s="187"/>
      <c r="L23" s="187"/>
    </row>
    <row r="24" spans="2:17" s="129" customFormat="1" x14ac:dyDescent="0.25">
      <c r="H24" s="187"/>
      <c r="I24" s="187"/>
      <c r="J24" s="187"/>
      <c r="K24" s="187"/>
      <c r="L24" s="187"/>
    </row>
    <row r="25" spans="2:17" s="129" customFormat="1" x14ac:dyDescent="0.25">
      <c r="H25" s="187"/>
      <c r="I25" s="187"/>
      <c r="J25" s="187"/>
      <c r="K25" s="187"/>
      <c r="L25" s="187"/>
    </row>
    <row r="26" spans="2:17" s="129" customFormat="1" x14ac:dyDescent="0.25">
      <c r="H26" s="187"/>
      <c r="I26" s="187"/>
      <c r="J26" s="187"/>
      <c r="K26" s="187"/>
      <c r="L26" s="187"/>
    </row>
    <row r="27" spans="2:17" s="129" customFormat="1" x14ac:dyDescent="0.25">
      <c r="H27" s="187"/>
      <c r="I27" s="187"/>
      <c r="J27" s="187"/>
      <c r="K27" s="187"/>
      <c r="L27" s="187"/>
    </row>
    <row r="28" spans="2:17" s="129" customFormat="1" x14ac:dyDescent="0.25"/>
    <row r="29" spans="2:17" s="129" customFormat="1" x14ac:dyDescent="0.25">
      <c r="H29" s="189"/>
      <c r="I29" s="189"/>
      <c r="J29" s="189"/>
      <c r="K29" s="189"/>
      <c r="L29" s="189"/>
    </row>
    <row r="30" spans="2:17" s="129" customFormat="1" x14ac:dyDescent="0.25">
      <c r="H30" s="189"/>
      <c r="I30" s="189"/>
      <c r="J30" s="189"/>
      <c r="K30" s="189"/>
      <c r="L30" s="189"/>
    </row>
    <row r="31" spans="2:17" x14ac:dyDescent="0.25">
      <c r="H31" s="190"/>
      <c r="I31" s="190"/>
      <c r="J31" s="190"/>
      <c r="K31" s="190"/>
      <c r="L31" s="190"/>
    </row>
    <row r="32" spans="2:17" x14ac:dyDescent="0.25">
      <c r="H32" s="190"/>
      <c r="I32" s="190"/>
      <c r="J32" s="190"/>
      <c r="K32" s="190"/>
      <c r="L32" s="190"/>
    </row>
    <row r="33" spans="8:12" x14ac:dyDescent="0.25">
      <c r="H33" s="190"/>
      <c r="I33" s="190"/>
      <c r="J33" s="190"/>
      <c r="K33" s="190"/>
      <c r="L33" s="190"/>
    </row>
    <row r="34" spans="8:12" x14ac:dyDescent="0.25">
      <c r="H34" s="190"/>
      <c r="I34" s="190"/>
      <c r="J34" s="190"/>
      <c r="K34" s="190"/>
      <c r="L34" s="190"/>
    </row>
  </sheetData>
  <mergeCells count="2">
    <mergeCell ref="B3:F3"/>
    <mergeCell ref="H3:L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1:AU45"/>
  <sheetViews>
    <sheetView showGridLines="0" zoomScale="115" zoomScaleNormal="115" workbookViewId="0">
      <selection activeCell="J49" sqref="J49"/>
    </sheetView>
  </sheetViews>
  <sheetFormatPr baseColWidth="10" defaultColWidth="11.44140625" defaultRowHeight="11.25" customHeight="1" x14ac:dyDescent="0.25"/>
  <cols>
    <col min="1" max="1" width="40.5546875" style="12" customWidth="1"/>
    <col min="2" max="3" width="10.5546875" style="12" customWidth="1"/>
    <col min="4" max="4" width="9" style="12" customWidth="1"/>
    <col min="5" max="5" width="11.109375" style="12" customWidth="1"/>
    <col min="6" max="6" width="4.109375" style="219" customWidth="1"/>
    <col min="7" max="11" width="10.5546875" style="12" customWidth="1"/>
    <col min="12" max="12" width="2.44140625" style="12" customWidth="1"/>
    <col min="13" max="14" width="10.5546875" style="12" hidden="1" customWidth="1"/>
    <col min="15" max="23" width="10.5546875" style="12" customWidth="1"/>
    <col min="24" max="16384" width="11.44140625" style="12"/>
  </cols>
  <sheetData>
    <row r="1" spans="1:47" s="17" customFormat="1" ht="12" customHeight="1" x14ac:dyDescent="0.25">
      <c r="A1" s="191" t="str">
        <f>Tabelloversikt!A14</f>
        <v>Tabell 9 Totale årsverk, årsverk utført av forskere/faglig personale etter kjønn og områdetilknytning. 2019-2023.</v>
      </c>
      <c r="B1" s="192"/>
      <c r="C1" s="192"/>
      <c r="D1" s="193"/>
      <c r="E1" s="193"/>
      <c r="F1" s="194"/>
      <c r="G1" s="193"/>
      <c r="H1" s="193"/>
      <c r="I1" s="193"/>
      <c r="J1" s="193"/>
      <c r="K1" s="193"/>
      <c r="L1" s="193"/>
      <c r="M1" s="193"/>
      <c r="N1" s="193"/>
    </row>
    <row r="2" spans="1:47" s="57" customFormat="1" ht="12" customHeight="1" x14ac:dyDescent="0.25">
      <c r="A2" s="132"/>
      <c r="B2" s="472"/>
      <c r="C2" s="472"/>
      <c r="D2" s="472"/>
      <c r="E2" s="195"/>
      <c r="F2" s="196"/>
      <c r="G2" s="195"/>
      <c r="H2" s="195"/>
      <c r="I2" s="195"/>
      <c r="J2" s="195"/>
      <c r="K2" s="195"/>
      <c r="L2" s="195"/>
      <c r="M2" s="195"/>
      <c r="N2" s="195"/>
    </row>
    <row r="3" spans="1:47" s="5" customFormat="1" ht="11.25" customHeight="1" x14ac:dyDescent="0.2">
      <c r="A3" s="7"/>
      <c r="B3" s="473" t="s">
        <v>14</v>
      </c>
      <c r="C3" s="473"/>
      <c r="D3" s="473"/>
      <c r="E3" s="473"/>
      <c r="F3" s="197"/>
      <c r="G3" s="473" t="s">
        <v>15</v>
      </c>
      <c r="H3" s="473"/>
      <c r="I3" s="473"/>
      <c r="J3" s="473"/>
      <c r="K3" s="473"/>
      <c r="L3" s="198"/>
      <c r="M3" s="198"/>
      <c r="N3" s="198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135" customFormat="1" ht="31.2" thickBot="1" x14ac:dyDescent="0.25">
      <c r="A4" s="6"/>
      <c r="B4" s="199" t="s">
        <v>0</v>
      </c>
      <c r="C4" s="199" t="s">
        <v>16</v>
      </c>
      <c r="D4" s="199" t="s">
        <v>17</v>
      </c>
      <c r="E4" s="199" t="s">
        <v>150</v>
      </c>
      <c r="F4" s="199"/>
      <c r="G4" s="200" t="s">
        <v>0</v>
      </c>
      <c r="H4" s="200" t="s">
        <v>16</v>
      </c>
      <c r="I4" s="200" t="s">
        <v>17</v>
      </c>
      <c r="J4" s="199" t="s">
        <v>150</v>
      </c>
      <c r="K4" s="200" t="s">
        <v>126</v>
      </c>
      <c r="L4" s="199"/>
      <c r="M4" s="200" t="s">
        <v>127</v>
      </c>
      <c r="N4" s="200" t="s">
        <v>128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57" customFormat="1" ht="11.25" customHeight="1" x14ac:dyDescent="0.25">
      <c r="A5" s="67">
        <f>A12-1</f>
        <v>2019</v>
      </c>
      <c r="B5" s="201"/>
      <c r="C5" s="201"/>
      <c r="D5" s="201"/>
      <c r="E5" s="201"/>
      <c r="F5" s="202"/>
      <c r="G5" s="201"/>
      <c r="H5" s="201"/>
      <c r="I5" s="201"/>
      <c r="J5" s="201"/>
      <c r="K5" s="201"/>
      <c r="L5" s="201"/>
      <c r="M5" s="68"/>
      <c r="N5" s="201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2"/>
      <c r="AP5" s="12"/>
      <c r="AQ5" s="12"/>
    </row>
    <row r="6" spans="1:47" ht="11.25" customHeight="1" x14ac:dyDescent="0.25">
      <c r="A6" s="71" t="s">
        <v>5</v>
      </c>
      <c r="B6" s="203">
        <v>964.34</v>
      </c>
      <c r="C6" s="203">
        <v>524.11</v>
      </c>
      <c r="D6" s="203">
        <v>440.23</v>
      </c>
      <c r="E6" s="203">
        <v>54.349088495758757</v>
      </c>
      <c r="F6" s="204"/>
      <c r="G6" s="203">
        <v>743.24</v>
      </c>
      <c r="H6" s="203">
        <v>385.78</v>
      </c>
      <c r="I6" s="203">
        <v>357.46000000000004</v>
      </c>
      <c r="J6" s="203">
        <v>51.905171949841233</v>
      </c>
      <c r="K6" s="203">
        <v>77.072401849969921</v>
      </c>
      <c r="L6" s="203"/>
      <c r="M6" s="140">
        <v>1525.6507041085094</v>
      </c>
      <c r="N6" s="140">
        <v>1979.5032560142081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47" ht="11.25" customHeight="1" x14ac:dyDescent="0.25">
      <c r="A7" s="71" t="s">
        <v>108</v>
      </c>
      <c r="B7" s="203">
        <v>1146.74</v>
      </c>
      <c r="C7" s="203">
        <v>535.88000000000011</v>
      </c>
      <c r="D7" s="203">
        <v>610.86</v>
      </c>
      <c r="E7" s="203">
        <v>46.730732336885445</v>
      </c>
      <c r="F7" s="204"/>
      <c r="G7" s="203">
        <v>815.99</v>
      </c>
      <c r="H7" s="203">
        <v>337.06000000000006</v>
      </c>
      <c r="I7" s="203">
        <v>478.93</v>
      </c>
      <c r="J7" s="203">
        <v>41.306878760769138</v>
      </c>
      <c r="K7" s="203">
        <v>71.15736784275424</v>
      </c>
      <c r="L7" s="203"/>
      <c r="M7" s="140">
        <v>1501.1563213980501</v>
      </c>
      <c r="N7" s="140">
        <v>2109.6287944705205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47" ht="11.25" customHeight="1" x14ac:dyDescent="0.25">
      <c r="A8" s="71" t="s">
        <v>4</v>
      </c>
      <c r="B8" s="203">
        <v>1443.96</v>
      </c>
      <c r="C8" s="203">
        <v>755.11</v>
      </c>
      <c r="D8" s="203">
        <v>688.84999999999991</v>
      </c>
      <c r="E8" s="203">
        <v>52.294384886007919</v>
      </c>
      <c r="F8" s="204"/>
      <c r="G8" s="203">
        <v>818.82999999999993</v>
      </c>
      <c r="H8" s="203">
        <v>377.73</v>
      </c>
      <c r="I8" s="203">
        <v>441.09999999999997</v>
      </c>
      <c r="J8" s="203">
        <v>46.130454428880235</v>
      </c>
      <c r="K8" s="203">
        <v>56.707249508296627</v>
      </c>
      <c r="L8" s="203"/>
      <c r="M8" s="140">
        <v>1502.860190032965</v>
      </c>
      <c r="N8" s="140">
        <v>2650.2082239292654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47" ht="11.25" customHeight="1" x14ac:dyDescent="0.25">
      <c r="A9" s="71" t="s">
        <v>6</v>
      </c>
      <c r="B9" s="203">
        <v>2946.41</v>
      </c>
      <c r="C9" s="203">
        <v>975.58999999999992</v>
      </c>
      <c r="D9" s="203">
        <v>1970.8200000000002</v>
      </c>
      <c r="E9" s="203">
        <v>33.111142033864937</v>
      </c>
      <c r="F9" s="204"/>
      <c r="G9" s="203">
        <v>2033.76</v>
      </c>
      <c r="H9" s="203">
        <v>586.86999999999989</v>
      </c>
      <c r="I9" s="203">
        <v>1446.89</v>
      </c>
      <c r="J9" s="203">
        <v>28.856403902132005</v>
      </c>
      <c r="K9" s="203">
        <v>69.025016884954908</v>
      </c>
      <c r="L9" s="203"/>
      <c r="M9" s="140">
        <v>1879.8069515104823</v>
      </c>
      <c r="N9" s="140">
        <v>2723.3705058610653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47" ht="11.25" customHeight="1" thickBot="1" x14ac:dyDescent="0.3">
      <c r="A10" s="124" t="s">
        <v>107</v>
      </c>
      <c r="B10" s="205">
        <f>SUM(B6:B9)</f>
        <v>6501.45</v>
      </c>
      <c r="C10" s="205">
        <f>SUM(C6:C9)</f>
        <v>2790.6900000000005</v>
      </c>
      <c r="D10" s="205">
        <f>SUM(D6:D9)</f>
        <v>3710.76</v>
      </c>
      <c r="E10" s="205">
        <f t="shared" ref="E10:E31" si="0">100*C10/B10</f>
        <v>42.924116927762277</v>
      </c>
      <c r="F10" s="206"/>
      <c r="G10" s="205">
        <f>SUM(G6:G9)</f>
        <v>4411.82</v>
      </c>
      <c r="H10" s="205">
        <f>SUM(H6:H9)</f>
        <v>1687.44</v>
      </c>
      <c r="I10" s="205">
        <f>SUM(I6:I9)</f>
        <v>2724.38</v>
      </c>
      <c r="J10" s="205">
        <f t="shared" ref="J10:J38" si="1">100*H10/G10</f>
        <v>38.248160623053529</v>
      </c>
      <c r="K10" s="205">
        <f>G10*100/B10</f>
        <v>67.859016065646898</v>
      </c>
      <c r="L10" s="205"/>
      <c r="M10" s="142" t="e">
        <f>(-GETPIVOTDATA("Verdi",#REF!,"Årstall",$A5,"Felttype",1,"Aggnivå",1)+GETPIVOTDATA("Verdi",#REF!,"Årstall",$A5,"Felttype",1,"omradenr",VLOOKUP($A6,'1. Instituttoversikt'!$A$4:$E$63,5,FALSE),"Aggnivå",1)+GETPIVOTDATA("Verdi",#REF!,"Årstall",$A5,"Felttype",1,"omradenr",VLOOKUP($A7,'1. Instituttoversikt'!$A$4:$E$63,5,FALSE),"Aggnivå",1)+GETPIVOTDATA("Verdi",#REF!,"Årstall",$A5,"Felttype",1,"omradenr",VLOOKUP($A8,'1. Instituttoversikt'!$A$4:$E$63,5,FALSE),"Aggnivå",1)+GETPIVOTDATA("Verdi",#REF!,"Årstall",$A5,"Felttype",1,"omradenr",VLOOKUP($A9,'1. Instituttoversikt'!$A$4:$E$63,5,FALSE),"Aggnivå",1))/B10</f>
        <v>#REF!</v>
      </c>
      <c r="N10" s="142" t="e">
        <f>(-GETPIVOTDATA("Verdi",#REF!,"Årstall",$A5,"Felttype",1,"Aggnivå",1)+GETPIVOTDATA("Verdi",#REF!,"Årstall",$A5,"Felttype",1,"omradenr",VLOOKUP($A6,'1. Instituttoversikt'!$A$4:$E$63,5,FALSE),"Aggnivå",1)+GETPIVOTDATA("Verdi",#REF!,"Årstall",$A5,"Felttype",1,"omradenr",VLOOKUP($A7,'1. Instituttoversikt'!$A$4:$E$63,5,FALSE),"Aggnivå",1)+GETPIVOTDATA("Verdi",#REF!,"Årstall",$A5,"Felttype",1,"omradenr",VLOOKUP($A8,'1. Instituttoversikt'!$A$4:$E$63,5,FALSE),"Aggnivå",1)+GETPIVOTDATA("Verdi",#REF!,"Årstall",$A5,"Felttype",1,"omradenr",VLOOKUP($A9,'1. Instituttoversikt'!$A$4:$E$63,5,FALSE),"Aggnivå",1))/G10</f>
        <v>#REF!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47" ht="11.25" customHeight="1" thickBot="1" x14ac:dyDescent="0.3">
      <c r="A11" s="207"/>
      <c r="B11" s="208"/>
      <c r="C11" s="208"/>
      <c r="D11" s="208"/>
      <c r="E11" s="208"/>
      <c r="F11" s="209"/>
      <c r="G11" s="208"/>
      <c r="H11" s="208"/>
      <c r="I11" s="208"/>
      <c r="J11" s="208"/>
      <c r="K11" s="208"/>
      <c r="L11" s="208"/>
      <c r="M11" s="210"/>
      <c r="N11" s="2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47" ht="11.25" customHeight="1" x14ac:dyDescent="0.25">
      <c r="A12" s="67">
        <f>A19-1</f>
        <v>2020</v>
      </c>
      <c r="B12" s="213"/>
      <c r="C12" s="213"/>
      <c r="D12" s="213"/>
      <c r="E12" s="213"/>
      <c r="F12" s="214"/>
      <c r="G12" s="213"/>
      <c r="H12" s="213"/>
      <c r="I12" s="213"/>
      <c r="J12" s="213"/>
      <c r="K12" s="213"/>
      <c r="L12" s="213"/>
      <c r="M12" s="211"/>
      <c r="N12" s="21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47" ht="11.25" customHeight="1" x14ac:dyDescent="0.25">
      <c r="A13" s="71" t="s">
        <v>5</v>
      </c>
      <c r="B13" s="216">
        <v>987.97</v>
      </c>
      <c r="C13" s="216">
        <v>538.22</v>
      </c>
      <c r="D13" s="203">
        <v>449.75000000000006</v>
      </c>
      <c r="E13" s="203">
        <v>54.477362672955657</v>
      </c>
      <c r="F13" s="3"/>
      <c r="G13" s="203">
        <v>754.59700000000009</v>
      </c>
      <c r="H13" s="140">
        <v>392.25700000000006</v>
      </c>
      <c r="I13" s="203">
        <v>362.34000000000003</v>
      </c>
      <c r="J13" s="203">
        <v>51.982316388747904</v>
      </c>
      <c r="K13" s="203">
        <v>76.378533761146599</v>
      </c>
      <c r="L13" s="203"/>
      <c r="M13" s="140">
        <v>1453.233397775236</v>
      </c>
      <c r="N13" s="140">
        <v>1902.6725523690127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47" ht="11.25" customHeight="1" x14ac:dyDescent="0.25">
      <c r="A14" s="71" t="s">
        <v>108</v>
      </c>
      <c r="B14" s="216">
        <v>1194.47</v>
      </c>
      <c r="C14" s="216">
        <v>573.95999999999992</v>
      </c>
      <c r="D14" s="203">
        <v>620.51</v>
      </c>
      <c r="E14" s="203">
        <v>48.051437039021486</v>
      </c>
      <c r="F14" s="218"/>
      <c r="G14" s="203">
        <v>783.61999999999989</v>
      </c>
      <c r="H14" s="216">
        <v>329.49999999999994</v>
      </c>
      <c r="I14" s="203">
        <v>454.12</v>
      </c>
      <c r="J14" s="203">
        <v>42.048441846813503</v>
      </c>
      <c r="K14" s="216">
        <v>65.603991728549047</v>
      </c>
      <c r="L14" s="203"/>
      <c r="M14" s="140">
        <v>1489.3475767495206</v>
      </c>
      <c r="N14" s="140">
        <v>2270.2087746611883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47" ht="11.25" customHeight="1" x14ac:dyDescent="0.25">
      <c r="A15" s="71" t="s">
        <v>4</v>
      </c>
      <c r="B15" s="203">
        <v>1448.74</v>
      </c>
      <c r="C15" s="203">
        <v>755.58999999999992</v>
      </c>
      <c r="D15" s="203">
        <v>693.15</v>
      </c>
      <c r="E15" s="203">
        <v>52.154976048152179</v>
      </c>
      <c r="F15" s="204"/>
      <c r="G15" s="203">
        <v>774.31999999999994</v>
      </c>
      <c r="H15" s="203">
        <v>374.09</v>
      </c>
      <c r="I15" s="203">
        <v>400.22999999999996</v>
      </c>
      <c r="J15" s="203">
        <v>48.312067362330822</v>
      </c>
      <c r="K15" s="203">
        <v>53.447823626047459</v>
      </c>
      <c r="L15" s="203"/>
      <c r="M15" s="140">
        <v>1440.0444524207242</v>
      </c>
      <c r="N15" s="140">
        <v>2694.2995144126462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47" ht="11.25" customHeight="1" x14ac:dyDescent="0.25">
      <c r="A16" s="71" t="s">
        <v>6</v>
      </c>
      <c r="B16" s="203">
        <v>2970.8600000000006</v>
      </c>
      <c r="C16" s="203">
        <v>1009.79</v>
      </c>
      <c r="D16" s="203">
        <v>1961.0700000000002</v>
      </c>
      <c r="E16" s="203">
        <v>33.989821129235295</v>
      </c>
      <c r="F16" s="204"/>
      <c r="G16" s="203">
        <v>2006.3400000000001</v>
      </c>
      <c r="H16" s="203">
        <v>601.99</v>
      </c>
      <c r="I16" s="203">
        <v>1404.3500000000001</v>
      </c>
      <c r="J16" s="203">
        <v>30.004386096075439</v>
      </c>
      <c r="K16" s="203">
        <v>67.533980059646012</v>
      </c>
      <c r="L16" s="203"/>
      <c r="M16" s="140">
        <v>1856.6337693462494</v>
      </c>
      <c r="N16" s="140">
        <v>2749.1845848659746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1.25" customHeight="1" thickBot="1" x14ac:dyDescent="0.3">
      <c r="A17" s="124" t="s">
        <v>107</v>
      </c>
      <c r="B17" s="205">
        <f>SUM(B13:B16)</f>
        <v>6602.0400000000009</v>
      </c>
      <c r="C17" s="205">
        <f>SUM(C13:C16)</f>
        <v>2877.5599999999995</v>
      </c>
      <c r="D17" s="205">
        <f>SUM(D13:D16)</f>
        <v>3724.48</v>
      </c>
      <c r="E17" s="205">
        <f t="shared" si="0"/>
        <v>43.585921927161891</v>
      </c>
      <c r="F17" s="206"/>
      <c r="G17" s="205">
        <f>SUM(G13:G16)</f>
        <v>4318.8770000000004</v>
      </c>
      <c r="H17" s="205">
        <f>SUM(H13:H16)</f>
        <v>1697.837</v>
      </c>
      <c r="I17" s="205">
        <f>SUM(I13:I16)</f>
        <v>2621.04</v>
      </c>
      <c r="J17" s="205">
        <f t="shared" si="1"/>
        <v>39.312001707851365</v>
      </c>
      <c r="K17" s="205">
        <f>G17*100/B17</f>
        <v>65.417310407086291</v>
      </c>
      <c r="L17" s="205"/>
      <c r="M17" s="212" t="e">
        <f>(-GETPIVOTDATA("Verdi",#REF!,"Årstall",$A12,"Felttype",1,"Aggnivå",1)+GETPIVOTDATA("Verdi",#REF!,"Årstall",$A12,"Felttype",1,"omradenr",VLOOKUP($A13,'1. Instituttoversikt'!$A$4:$E$63,5,FALSE),"Aggnivå",1)+GETPIVOTDATA("Verdi",#REF!,"Årstall",$A12,"Felttype",1,"omradenr",VLOOKUP($A14,'1. Instituttoversikt'!$A$4:$E$63,5,FALSE),"Aggnivå",1)+GETPIVOTDATA("Verdi",#REF!,"Årstall",$A12,"Felttype",1,"omradenr",VLOOKUP($A15,'1. Instituttoversikt'!$A$4:$E$63,5,FALSE),"Aggnivå",1)+GETPIVOTDATA("Verdi",#REF!,"Årstall",$A12,"Felttype",1,"omradenr",VLOOKUP($A16,'1. Instituttoversikt'!$A$4:$E$63,5,FALSE),"Aggnivå",1))/B17</f>
        <v>#REF!</v>
      </c>
      <c r="N17" s="212" t="e">
        <f>(-GETPIVOTDATA("Verdi",#REF!,"Årstall",$A12,"Felttype",1,"Aggnivå",1)+GETPIVOTDATA("Verdi",#REF!,"Årstall",$A12,"Felttype",1,"omradenr",VLOOKUP($A13,'1. Instituttoversikt'!$A$4:$E$63,5,FALSE),"Aggnivå",1)+GETPIVOTDATA("Verdi",#REF!,"Årstall",$A12,"Felttype",1,"omradenr",VLOOKUP($A14,'1. Instituttoversikt'!$A$4:$E$63,5,FALSE),"Aggnivå",1)+GETPIVOTDATA("Verdi",#REF!,"Årstall",$A12,"Felttype",1,"omradenr",VLOOKUP($A15,'1. Instituttoversikt'!$A$4:$E$63,5,FALSE),"Aggnivå",1)+GETPIVOTDATA("Verdi",#REF!,"Årstall",$A12,"Felttype",1,"omradenr",VLOOKUP($A16,'1. Instituttoversikt'!$A$4:$E$63,5,FALSE),"Aggnivå",1))/G17</f>
        <v>#REF!</v>
      </c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1.25" customHeight="1" thickBot="1" x14ac:dyDescent="0.3">
      <c r="A18" s="207"/>
      <c r="B18" s="208"/>
      <c r="C18" s="208"/>
      <c r="D18" s="208"/>
      <c r="E18" s="208"/>
      <c r="F18" s="209"/>
      <c r="G18" s="208"/>
      <c r="H18" s="208"/>
      <c r="I18" s="208"/>
      <c r="J18" s="208"/>
      <c r="K18" s="208"/>
      <c r="L18" s="208"/>
      <c r="M18" s="210"/>
      <c r="N18" s="21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1.25" customHeight="1" x14ac:dyDescent="0.25">
      <c r="A19" s="67">
        <f>A26-1</f>
        <v>2021</v>
      </c>
      <c r="B19" s="213"/>
      <c r="C19" s="213"/>
      <c r="D19" s="213"/>
      <c r="E19" s="213"/>
      <c r="F19" s="214"/>
      <c r="G19" s="213"/>
      <c r="H19" s="213"/>
      <c r="I19" s="213"/>
      <c r="J19" s="213"/>
      <c r="K19" s="213"/>
      <c r="L19" s="213"/>
      <c r="M19" s="215"/>
      <c r="N19" s="21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1.25" customHeight="1" x14ac:dyDescent="0.25">
      <c r="A20" s="71" t="s">
        <v>5</v>
      </c>
      <c r="B20" s="216">
        <v>1036.68</v>
      </c>
      <c r="C20" s="216">
        <v>578.22</v>
      </c>
      <c r="D20" s="203">
        <v>458.46000000000004</v>
      </c>
      <c r="E20" s="203">
        <v>55.776131496701005</v>
      </c>
      <c r="F20" s="3"/>
      <c r="G20" s="203">
        <v>798.11</v>
      </c>
      <c r="H20" s="140">
        <v>424.81</v>
      </c>
      <c r="I20" s="203">
        <v>373.3</v>
      </c>
      <c r="J20" s="203">
        <v>53.226998784628684</v>
      </c>
      <c r="K20" s="203">
        <v>76.987112705945904</v>
      </c>
      <c r="L20" s="203"/>
      <c r="M20" s="217">
        <v>1491.2248717058301</v>
      </c>
      <c r="N20" s="140">
        <v>1936.9798649308991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1.25" customHeight="1" x14ac:dyDescent="0.25">
      <c r="A21" s="71" t="s">
        <v>108</v>
      </c>
      <c r="B21" s="216">
        <v>1373.58</v>
      </c>
      <c r="C21" s="216">
        <v>652.72</v>
      </c>
      <c r="D21" s="203">
        <v>720.8599999999999</v>
      </c>
      <c r="E21" s="203">
        <v>47.519620262380059</v>
      </c>
      <c r="F21" s="218"/>
      <c r="G21" s="203">
        <v>910.27</v>
      </c>
      <c r="H21" s="216">
        <v>382.66</v>
      </c>
      <c r="I21" s="203">
        <v>527.6099999999999</v>
      </c>
      <c r="J21" s="203">
        <v>42.038076614630825</v>
      </c>
      <c r="K21" s="216">
        <v>66.269893271596857</v>
      </c>
      <c r="L21" s="203"/>
      <c r="M21" s="217">
        <v>1498.4034421002054</v>
      </c>
      <c r="N21" s="140">
        <v>2261.0621024531183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1.25" customHeight="1" x14ac:dyDescent="0.25">
      <c r="A22" s="71" t="s">
        <v>4</v>
      </c>
      <c r="B22" s="203">
        <v>1439.87</v>
      </c>
      <c r="C22" s="203">
        <v>748.25</v>
      </c>
      <c r="D22" s="203">
        <v>691.61999999999989</v>
      </c>
      <c r="E22" s="203">
        <v>51.966496975421393</v>
      </c>
      <c r="F22" s="204"/>
      <c r="G22" s="203">
        <v>773.44</v>
      </c>
      <c r="H22" s="203">
        <v>373.90000000000003</v>
      </c>
      <c r="I22" s="203">
        <v>399.53999999999996</v>
      </c>
      <c r="J22" s="203">
        <v>48.342470004137354</v>
      </c>
      <c r="K22" s="203">
        <v>53.715960468653421</v>
      </c>
      <c r="L22" s="203"/>
      <c r="M22" s="140">
        <v>1515.2492933389822</v>
      </c>
      <c r="N22" s="140">
        <v>2820.8548820852293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1.25" customHeight="1" x14ac:dyDescent="0.25">
      <c r="A23" s="71" t="s">
        <v>6</v>
      </c>
      <c r="B23" s="203">
        <v>3233.7</v>
      </c>
      <c r="C23" s="203">
        <v>1135.3999999999999</v>
      </c>
      <c r="D23" s="203">
        <v>2098.3000000000002</v>
      </c>
      <c r="E23" s="203">
        <v>35.111482203049135</v>
      </c>
      <c r="F23" s="204"/>
      <c r="G23" s="203">
        <v>2133.1499999999996</v>
      </c>
      <c r="H23" s="203">
        <v>678.09999999999991</v>
      </c>
      <c r="I23" s="203">
        <v>1455.05</v>
      </c>
      <c r="J23" s="203">
        <v>31.7886693387713</v>
      </c>
      <c r="K23" s="203">
        <v>65.966230633639483</v>
      </c>
      <c r="L23" s="203"/>
      <c r="M23" s="140">
        <v>1813.9280081640227</v>
      </c>
      <c r="N23" s="140">
        <v>2749.7827157021311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1.25" customHeight="1" thickBot="1" x14ac:dyDescent="0.3">
      <c r="A24" s="124" t="s">
        <v>107</v>
      </c>
      <c r="B24" s="205">
        <f>SUM(B20:B23)</f>
        <v>7083.83</v>
      </c>
      <c r="C24" s="205">
        <f>SUM(C20:C23)</f>
        <v>3114.59</v>
      </c>
      <c r="D24" s="205">
        <f>SUM(D20:D23)</f>
        <v>3969.24</v>
      </c>
      <c r="E24" s="205">
        <f t="shared" si="0"/>
        <v>43.967599448321039</v>
      </c>
      <c r="F24" s="206"/>
      <c r="G24" s="205">
        <f>SUM(G20:G23)</f>
        <v>4614.9699999999993</v>
      </c>
      <c r="H24" s="205">
        <f>SUM(H20:H23)</f>
        <v>1859.47</v>
      </c>
      <c r="I24" s="205">
        <f>SUM(I20:I23)</f>
        <v>2755.5</v>
      </c>
      <c r="J24" s="205">
        <f t="shared" si="1"/>
        <v>40.29213624357255</v>
      </c>
      <c r="K24" s="205">
        <f>G24*100/B24</f>
        <v>65.147949626120322</v>
      </c>
      <c r="L24" s="205"/>
      <c r="M24" s="142" t="e">
        <f>(-GETPIVOTDATA("Verdi",#REF!,"Årstall",$A19,"Felttype",1,"Aggnivå",1)+GETPIVOTDATA("Verdi",#REF!,"Årstall",$A19,"Felttype",1,"omradenr",VLOOKUP($A20,'1. Instituttoversikt'!$A$4:$E$63,5,FALSE),"Aggnivå",1)+GETPIVOTDATA("Verdi",#REF!,"Årstall",$A19,"Felttype",1,"omradenr",VLOOKUP($A21,'1. Instituttoversikt'!$A$4:$E$63,5,FALSE),"Aggnivå",1)+GETPIVOTDATA("Verdi",#REF!,"Årstall",$A19,"Felttype",1,"omradenr",VLOOKUP($A22,'1. Instituttoversikt'!$A$4:$E$63,5,FALSE),"Aggnivå",1)+GETPIVOTDATA("Verdi",#REF!,"Årstall",$A19,"Felttype",1,"omradenr",VLOOKUP($A23,'1. Instituttoversikt'!$A$4:$E$63,5,FALSE),"Aggnivå",1))/B24</f>
        <v>#REF!</v>
      </c>
      <c r="N24" s="142" t="e">
        <f>(-GETPIVOTDATA("Verdi",#REF!,"Årstall",$A19,"Felttype",1,"Aggnivå",1)+GETPIVOTDATA("Verdi",#REF!,"Årstall",$A19,"Felttype",1,"omradenr",VLOOKUP($A20,'1. Instituttoversikt'!$A$4:$E$63,5,FALSE),"Aggnivå",1)+GETPIVOTDATA("Verdi",#REF!,"Årstall",$A19,"Felttype",1,"omradenr",VLOOKUP($A21,'1. Instituttoversikt'!$A$4:$E$63,5,FALSE),"Aggnivå",1)+GETPIVOTDATA("Verdi",#REF!,"Årstall",$A19,"Felttype",1,"omradenr",VLOOKUP($A22,'1. Instituttoversikt'!$A$4:$E$63,5,FALSE),"Aggnivå",1)+GETPIVOTDATA("Verdi",#REF!,"Årstall",$A19,"Felttype",1,"omradenr",VLOOKUP($A23,'1. Instituttoversikt'!$A$4:$E$63,5,FALSE),"Aggnivå",1))/G24</f>
        <v>#REF!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1.25" customHeight="1" thickBot="1" x14ac:dyDescent="0.3">
      <c r="A25" s="207"/>
      <c r="B25" s="208"/>
      <c r="C25" s="208"/>
      <c r="D25" s="208"/>
      <c r="E25" s="208"/>
      <c r="F25" s="209"/>
      <c r="G25" s="208"/>
      <c r="H25" s="208"/>
      <c r="I25" s="208"/>
      <c r="J25" s="208"/>
      <c r="K25" s="208"/>
      <c r="L25" s="208"/>
      <c r="M25" s="210"/>
      <c r="N25" s="210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1.25" customHeight="1" x14ac:dyDescent="0.25">
      <c r="A26" s="67">
        <f>A33-1</f>
        <v>2022</v>
      </c>
      <c r="B26" s="213"/>
      <c r="C26" s="213"/>
      <c r="D26" s="213"/>
      <c r="E26" s="213"/>
      <c r="F26" s="214"/>
      <c r="G26" s="213"/>
      <c r="H26" s="213"/>
      <c r="I26" s="213"/>
      <c r="J26" s="213"/>
      <c r="K26" s="213"/>
      <c r="L26" s="213"/>
      <c r="M26" s="211"/>
      <c r="N26" s="211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1.25" customHeight="1" x14ac:dyDescent="0.25">
      <c r="A27" s="71" t="s">
        <v>5</v>
      </c>
      <c r="B27" s="216">
        <v>1097.1400000000001</v>
      </c>
      <c r="C27" s="216">
        <v>622.68000000000006</v>
      </c>
      <c r="D27" s="203">
        <v>474.46000000000004</v>
      </c>
      <c r="E27" s="203">
        <v>56.754835299050256</v>
      </c>
      <c r="F27" s="3"/>
      <c r="G27" s="203">
        <v>837.05000000000007</v>
      </c>
      <c r="H27" s="140">
        <v>447.68000000000006</v>
      </c>
      <c r="I27" s="203">
        <v>389.37</v>
      </c>
      <c r="J27" s="203">
        <v>53.483065527746255</v>
      </c>
      <c r="K27" s="203">
        <v>76.293818473485601</v>
      </c>
      <c r="L27" s="203"/>
      <c r="M27" s="140">
        <v>1603.832692272636</v>
      </c>
      <c r="N27" s="140">
        <v>2102.1790812974132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1.25" customHeight="1" x14ac:dyDescent="0.25">
      <c r="A28" s="71" t="s">
        <v>108</v>
      </c>
      <c r="B28" s="216">
        <v>1439.76</v>
      </c>
      <c r="C28" s="216">
        <v>717.69</v>
      </c>
      <c r="D28" s="203">
        <v>722.06999999999994</v>
      </c>
      <c r="E28" s="203">
        <v>49.847891315219201</v>
      </c>
      <c r="F28" s="218"/>
      <c r="G28" s="203">
        <v>995.45999999999992</v>
      </c>
      <c r="H28" s="216">
        <v>443.03999999999996</v>
      </c>
      <c r="I28" s="203">
        <v>552.41999999999996</v>
      </c>
      <c r="J28" s="203">
        <v>44.506057501054791</v>
      </c>
      <c r="K28" s="216">
        <v>69.140690115019154</v>
      </c>
      <c r="L28" s="203"/>
      <c r="M28" s="140">
        <v>1617.6640551202979</v>
      </c>
      <c r="N28" s="140">
        <v>2339.6701022642801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1.25" customHeight="1" x14ac:dyDescent="0.25">
      <c r="A29" s="71" t="s">
        <v>4</v>
      </c>
      <c r="B29" s="203">
        <v>1473.72</v>
      </c>
      <c r="C29" s="203">
        <v>780.5</v>
      </c>
      <c r="D29" s="203">
        <v>693.22</v>
      </c>
      <c r="E29" s="203">
        <v>52.96121379909345</v>
      </c>
      <c r="F29" s="204"/>
      <c r="G29" s="203">
        <v>801.71</v>
      </c>
      <c r="H29" s="203">
        <v>398</v>
      </c>
      <c r="I29" s="203">
        <v>403.71000000000004</v>
      </c>
      <c r="J29" s="203">
        <v>49.643886193261899</v>
      </c>
      <c r="K29" s="203">
        <v>54.400428846728005</v>
      </c>
      <c r="L29" s="203"/>
      <c r="M29" s="217">
        <v>1645.5710718453979</v>
      </c>
      <c r="N29" s="140">
        <v>3024.9229771363707</v>
      </c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1.25" customHeight="1" x14ac:dyDescent="0.25">
      <c r="A30" s="71" t="s">
        <v>6</v>
      </c>
      <c r="B30" s="203">
        <v>3291.3700000000008</v>
      </c>
      <c r="C30" s="203">
        <v>1134.72</v>
      </c>
      <c r="D30" s="203">
        <v>2156.6500000000005</v>
      </c>
      <c r="E30" s="203">
        <v>34.475613498330475</v>
      </c>
      <c r="F30" s="204"/>
      <c r="G30" s="203">
        <v>2165.4700000000003</v>
      </c>
      <c r="H30" s="203">
        <v>653.32000000000005</v>
      </c>
      <c r="I30" s="203">
        <v>1512.1500000000003</v>
      </c>
      <c r="J30" s="203">
        <v>30.16989383367121</v>
      </c>
      <c r="K30" s="203">
        <v>65.79236002029549</v>
      </c>
      <c r="L30" s="203"/>
      <c r="M30" s="217">
        <v>1927.2895481212986</v>
      </c>
      <c r="N30" s="140">
        <v>2929.3515957274863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1.25" customHeight="1" thickBot="1" x14ac:dyDescent="0.3">
      <c r="A31" s="124" t="s">
        <v>107</v>
      </c>
      <c r="B31" s="205">
        <f>SUM(B27:B30)</f>
        <v>7301.9900000000007</v>
      </c>
      <c r="C31" s="205">
        <f>SUM(C27:C30)</f>
        <v>3255.59</v>
      </c>
      <c r="D31" s="205">
        <f>SUM(D27:D30)</f>
        <v>4046.4000000000005</v>
      </c>
      <c r="E31" s="205">
        <f t="shared" si="0"/>
        <v>44.584969302888659</v>
      </c>
      <c r="F31" s="206"/>
      <c r="G31" s="205">
        <f>SUM(G27:G30)</f>
        <v>4799.6900000000005</v>
      </c>
      <c r="H31" s="205">
        <f>SUM(H27:H30)</f>
        <v>1942.04</v>
      </c>
      <c r="I31" s="205">
        <f>SUM(I27:I30)</f>
        <v>2857.6500000000005</v>
      </c>
      <c r="J31" s="205">
        <f t="shared" si="1"/>
        <v>40.461779823280246</v>
      </c>
      <c r="K31" s="205">
        <f>G31*100/B31</f>
        <v>65.731259560749876</v>
      </c>
      <c r="L31" s="205"/>
      <c r="M31" s="212" t="e">
        <f>(-GETPIVOTDATA("Verdi",#REF!,"Årstall",$A26,"Felttype",1,"Aggnivå",1)+GETPIVOTDATA("Verdi",#REF!,"Årstall",$A26,"Felttype",1,"omradenr",VLOOKUP($A27,'1. Instituttoversikt'!$A$4:$E$63,5,FALSE),"Aggnivå",1)+GETPIVOTDATA("Verdi",#REF!,"Årstall",$A26,"Felttype",1,"omradenr",VLOOKUP($A28,'1. Instituttoversikt'!$A$4:$E$63,5,FALSE),"Aggnivå",1)+GETPIVOTDATA("Verdi",#REF!,"Årstall",$A26,"Felttype",1,"omradenr",VLOOKUP($A29,'1. Instituttoversikt'!$A$4:$E$63,5,FALSE),"Aggnivå",1)+GETPIVOTDATA("Verdi",#REF!,"Årstall",$A26,"Felttype",1,"omradenr",VLOOKUP($A30,'1. Instituttoversikt'!$A$4:$E$63,5,FALSE),"Aggnivå",1))/B31</f>
        <v>#REF!</v>
      </c>
      <c r="N31" s="212" t="e">
        <f>(-GETPIVOTDATA("Verdi",#REF!,"Årstall",$A26,"Felttype",1,"Aggnivå",1)+GETPIVOTDATA("Verdi",#REF!,"Årstall",$A26,"Felttype",1,"omradenr",VLOOKUP($A27,'1. Instituttoversikt'!$A$4:$E$63,5,FALSE),"Aggnivå",1)+GETPIVOTDATA("Verdi",#REF!,"Årstall",$A26,"Felttype",1,"omradenr",VLOOKUP($A28,'1. Instituttoversikt'!$A$4:$E$63,5,FALSE),"Aggnivå",1)+GETPIVOTDATA("Verdi",#REF!,"Årstall",$A26,"Felttype",1,"omradenr",VLOOKUP($A29,'1. Instituttoversikt'!$A$4:$E$63,5,FALSE),"Aggnivå",1)+GETPIVOTDATA("Verdi",#REF!,"Årstall",$A26,"Felttype",1,"omradenr",VLOOKUP($A30,'1. Instituttoversikt'!$A$4:$E$63,5,FALSE),"Aggnivå",1))/G31</f>
        <v>#REF!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1.25" customHeight="1" thickBot="1" x14ac:dyDescent="0.3">
      <c r="A32" s="207"/>
      <c r="B32" s="208"/>
      <c r="C32" s="208"/>
      <c r="D32" s="208"/>
      <c r="E32" s="208"/>
      <c r="F32" s="209"/>
      <c r="G32" s="208"/>
      <c r="H32" s="208"/>
      <c r="I32" s="208"/>
      <c r="J32" s="208"/>
      <c r="K32" s="208"/>
      <c r="L32" s="208"/>
      <c r="M32" s="210"/>
      <c r="N32" s="210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1.25" customHeight="1" x14ac:dyDescent="0.25">
      <c r="A33" s="67">
        <v>2023</v>
      </c>
      <c r="B33" s="213"/>
      <c r="C33" s="213"/>
      <c r="D33" s="213"/>
      <c r="E33" s="213"/>
      <c r="F33" s="214"/>
      <c r="G33" s="213"/>
      <c r="H33" s="213"/>
      <c r="I33" s="213"/>
      <c r="J33" s="213"/>
      <c r="K33" s="213"/>
      <c r="L33" s="213"/>
      <c r="M33" s="215"/>
      <c r="N33" s="215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1.25" customHeight="1" x14ac:dyDescent="0.25">
      <c r="A34" s="71" t="s">
        <v>5</v>
      </c>
      <c r="B34" s="203">
        <v>1072.55</v>
      </c>
      <c r="C34" s="203">
        <v>606.87</v>
      </c>
      <c r="D34" s="203">
        <v>465.67999999999995</v>
      </c>
      <c r="E34" s="203">
        <v>56.581977530185078</v>
      </c>
      <c r="F34" s="204"/>
      <c r="G34" s="203">
        <v>815.6099999999999</v>
      </c>
      <c r="H34" s="203">
        <v>435.98</v>
      </c>
      <c r="I34" s="203">
        <v>379.62999999999994</v>
      </c>
      <c r="J34" s="203">
        <v>53.454469660744728</v>
      </c>
      <c r="K34" s="203">
        <v>76.044007272388228</v>
      </c>
      <c r="L34" s="203"/>
      <c r="M34" s="140">
        <v>1676.0300219104006</v>
      </c>
      <c r="N34" s="140">
        <v>2204.0264342026217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1.25" customHeight="1" x14ac:dyDescent="0.25">
      <c r="A35" s="71" t="s">
        <v>108</v>
      </c>
      <c r="B35" s="203">
        <v>1487.23</v>
      </c>
      <c r="C35" s="203">
        <v>754.66</v>
      </c>
      <c r="D35" s="203">
        <v>732.56999999999994</v>
      </c>
      <c r="E35" s="203">
        <v>50.742655809794044</v>
      </c>
      <c r="F35" s="204"/>
      <c r="G35" s="203">
        <v>1010.68</v>
      </c>
      <c r="H35" s="203">
        <v>466.25</v>
      </c>
      <c r="I35" s="203">
        <v>544.42999999999995</v>
      </c>
      <c r="J35" s="203">
        <v>46.132306961649583</v>
      </c>
      <c r="K35" s="203">
        <v>67.957209039624004</v>
      </c>
      <c r="L35" s="203"/>
      <c r="M35" s="140">
        <v>1705.777183085333</v>
      </c>
      <c r="N35" s="140">
        <v>2510.0753947837102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1.25" customHeight="1" x14ac:dyDescent="0.25">
      <c r="A36" s="71" t="s">
        <v>4</v>
      </c>
      <c r="B36" s="203">
        <v>1515.94</v>
      </c>
      <c r="C36" s="203">
        <v>817.09</v>
      </c>
      <c r="D36" s="203">
        <v>698.84999999999991</v>
      </c>
      <c r="E36" s="203">
        <v>53.899890496985364</v>
      </c>
      <c r="F36" s="204"/>
      <c r="G36" s="203">
        <v>827.88</v>
      </c>
      <c r="H36" s="203">
        <v>423.40000000000003</v>
      </c>
      <c r="I36" s="203">
        <v>404.47999999999996</v>
      </c>
      <c r="J36" s="203">
        <v>51.142677682755952</v>
      </c>
      <c r="K36" s="203">
        <v>54.611660092088073</v>
      </c>
      <c r="L36" s="203"/>
      <c r="M36" s="140">
        <v>1711.1171946119239</v>
      </c>
      <c r="N36" s="140">
        <v>3133.2451563028458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1.25" customHeight="1" x14ac:dyDescent="0.25">
      <c r="A37" s="71" t="s">
        <v>6</v>
      </c>
      <c r="B37" s="203">
        <v>3196.7400000000002</v>
      </c>
      <c r="C37" s="203">
        <v>1100.21</v>
      </c>
      <c r="D37" s="203">
        <v>2096.5300000000002</v>
      </c>
      <c r="E37" s="203">
        <v>34.416624436144318</v>
      </c>
      <c r="F37" s="204"/>
      <c r="G37" s="203">
        <v>2190.2400000000002</v>
      </c>
      <c r="H37" s="203">
        <v>673.5100000000001</v>
      </c>
      <c r="I37" s="203">
        <v>1516.73</v>
      </c>
      <c r="J37" s="203">
        <v>30.750511359485721</v>
      </c>
      <c r="K37" s="203">
        <v>68.51479945194167</v>
      </c>
      <c r="L37" s="203"/>
      <c r="M37" s="140">
        <v>2025.8356951143976</v>
      </c>
      <c r="N37" s="140">
        <v>2956.7855577470959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1.25" customHeight="1" thickBot="1" x14ac:dyDescent="0.3">
      <c r="A38" s="124" t="s">
        <v>107</v>
      </c>
      <c r="B38" s="205">
        <f>SUM(B34:B37)</f>
        <v>7272.46</v>
      </c>
      <c r="C38" s="205">
        <f>SUM(C34:C37)</f>
        <v>3278.83</v>
      </c>
      <c r="D38" s="205">
        <f>SUM(D34:D37)</f>
        <v>3993.63</v>
      </c>
      <c r="E38" s="205">
        <f>100*C38/B38</f>
        <v>45.085569394675254</v>
      </c>
      <c r="F38" s="206"/>
      <c r="G38" s="205">
        <f>SUM(G34:G37)</f>
        <v>4844.41</v>
      </c>
      <c r="H38" s="205">
        <f>SUM(H34:H37)</f>
        <v>1999.1400000000003</v>
      </c>
      <c r="I38" s="205">
        <f>SUM(I34:I37)</f>
        <v>2845.27</v>
      </c>
      <c r="J38" s="205">
        <f t="shared" si="1"/>
        <v>41.266944787910198</v>
      </c>
      <c r="K38" s="205">
        <f>G38*100/B38</f>
        <v>66.613085530893258</v>
      </c>
      <c r="L38" s="205"/>
      <c r="M38" s="142" t="e">
        <f>(-GETPIVOTDATA("Verdi",#REF!,"Årstall",$A33,"Felttype",1,"Aggnivå",1)+GETPIVOTDATA("Verdi",#REF!,"Årstall",$A33,"Felttype",1,"omradenr",VLOOKUP($A34,'1. Instituttoversikt'!$A$4:$E$63,5,FALSE),"Aggnivå",1)+GETPIVOTDATA("Verdi",#REF!,"Årstall",$A33,"Felttype",1,"omradenr",VLOOKUP($A35,'1. Instituttoversikt'!$A$4:$E$63,5,FALSE),"Aggnivå",1)+GETPIVOTDATA("Verdi",#REF!,"Årstall",$A33,"Felttype",1,"omradenr",VLOOKUP($A36,'1. Instituttoversikt'!$A$4:$E$63,5,FALSE),"Aggnivå",1)+GETPIVOTDATA("Verdi",#REF!,"Årstall",$A33,"Felttype",1,"omradenr",VLOOKUP($A37,'1. Instituttoversikt'!$A$4:$E$63,5,FALSE),"Aggnivå",1))/B38</f>
        <v>#REF!</v>
      </c>
      <c r="N38" s="142" t="e">
        <f>(-GETPIVOTDATA("Verdi",#REF!,"Årstall",$A33,"Felttype",1,"Aggnivå",1)+GETPIVOTDATA("Verdi",#REF!,"Årstall",$A33,"Felttype",1,"omradenr",VLOOKUP($A34,'1. Instituttoversikt'!$A$4:$E$63,5,FALSE),"Aggnivå",1)+GETPIVOTDATA("Verdi",#REF!,"Årstall",$A33,"Felttype",1,"omradenr",VLOOKUP($A35,'1. Instituttoversikt'!$A$4:$E$63,5,FALSE),"Aggnivå",1)+GETPIVOTDATA("Verdi",#REF!,"Årstall",$A33,"Felttype",1,"omradenr",VLOOKUP($A36,'1. Instituttoversikt'!$A$4:$E$63,5,FALSE),"Aggnivå",1)+GETPIVOTDATA("Verdi",#REF!,"Årstall",$A33,"Felttype",1,"omradenr",VLOOKUP($A37,'1. Instituttoversikt'!$A$4:$E$63,5,FALSE),"Aggnivå",1))/G38</f>
        <v>#REF!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11.25" customHeight="1" x14ac:dyDescent="0.25">
      <c r="B39" s="14"/>
      <c r="C39" s="14"/>
      <c r="D39" s="14"/>
      <c r="E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1.25" customHeight="1" x14ac:dyDescent="0.25">
      <c r="B40" s="220"/>
      <c r="H40" s="203"/>
    </row>
    <row r="41" spans="1:28" ht="11.25" customHeight="1" x14ac:dyDescent="0.25">
      <c r="B41" s="220"/>
    </row>
    <row r="42" spans="1:28" ht="11.25" customHeight="1" x14ac:dyDescent="0.25">
      <c r="B42" s="220"/>
    </row>
    <row r="43" spans="1:28" ht="11.25" customHeight="1" x14ac:dyDescent="0.25">
      <c r="B43" s="220"/>
    </row>
    <row r="45" spans="1:28" ht="11.25" customHeight="1" x14ac:dyDescent="0.25">
      <c r="B45" s="220"/>
    </row>
  </sheetData>
  <mergeCells count="3">
    <mergeCell ref="B2:D2"/>
    <mergeCell ref="G3:K3"/>
    <mergeCell ref="B3:E3"/>
  </mergeCells>
  <pageMargins left="0.78740157499999996" right="0.78740157499999996" top="0.984251969" bottom="0.984251969" header="0.5" footer="0.5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7"/>
  <dimension ref="A1:AS40"/>
  <sheetViews>
    <sheetView showGridLines="0" tabSelected="1" zoomScale="115" zoomScaleNormal="115" workbookViewId="0"/>
  </sheetViews>
  <sheetFormatPr baseColWidth="10" defaultColWidth="8.88671875" defaultRowHeight="11.25" customHeight="1" x14ac:dyDescent="0.2"/>
  <cols>
    <col min="1" max="1" width="39.5546875" style="231" customWidth="1"/>
    <col min="2" max="3" width="9.44140625" style="231" customWidth="1"/>
    <col min="4" max="4" width="9" style="231" customWidth="1"/>
    <col min="5" max="5" width="12.88671875" style="231" hidden="1" customWidth="1"/>
    <col min="6" max="6" width="13" style="239" customWidth="1"/>
    <col min="7" max="21" width="10.5546875" style="231" customWidth="1"/>
    <col min="22" max="16384" width="8.88671875" style="231"/>
  </cols>
  <sheetData>
    <row r="1" spans="1:45" s="223" customFormat="1" ht="12" customHeight="1" x14ac:dyDescent="0.25">
      <c r="A1" s="221" t="str">
        <f>Tabelloversikt!A15</f>
        <v>Tabell 10 Antall ansatte med doktorgrad etter kjønn og områdetilknytning. 2019-2023</v>
      </c>
      <c r="B1" s="221"/>
      <c r="C1" s="221"/>
      <c r="D1" s="221"/>
      <c r="E1" s="221"/>
      <c r="F1" s="222"/>
    </row>
    <row r="2" spans="1:45" s="57" customFormat="1" ht="12" customHeight="1" x14ac:dyDescent="0.25">
      <c r="F2" s="224"/>
    </row>
    <row r="3" spans="1:45" s="5" customFormat="1" ht="10.199999999999999" x14ac:dyDescent="0.2">
      <c r="A3" s="7"/>
      <c r="B3" s="8"/>
      <c r="C3" s="8"/>
      <c r="D3" s="8"/>
      <c r="E3" s="8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228" customFormat="1" ht="31.5" customHeight="1" thickBot="1" x14ac:dyDescent="0.25">
      <c r="A4" s="6"/>
      <c r="B4" s="225" t="s">
        <v>0</v>
      </c>
      <c r="C4" s="225" t="s">
        <v>16</v>
      </c>
      <c r="D4" s="225" t="s">
        <v>17</v>
      </c>
      <c r="E4" s="225" t="s">
        <v>117</v>
      </c>
      <c r="F4" s="226" t="s">
        <v>209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</row>
    <row r="5" spans="1:45" ht="11.25" customHeight="1" x14ac:dyDescent="0.25">
      <c r="A5" s="67">
        <f>A12-1</f>
        <v>2019</v>
      </c>
      <c r="B5" s="201"/>
      <c r="C5" s="201"/>
      <c r="D5" s="201"/>
      <c r="E5" s="201"/>
      <c r="F5" s="229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</row>
    <row r="6" spans="1:45" ht="12" customHeight="1" x14ac:dyDescent="0.2">
      <c r="A6" s="71" t="s">
        <v>5</v>
      </c>
      <c r="B6" s="203">
        <v>514</v>
      </c>
      <c r="C6" s="203">
        <v>251</v>
      </c>
      <c r="D6" s="203">
        <v>263</v>
      </c>
      <c r="E6" s="203">
        <v>30.235294117647058</v>
      </c>
      <c r="F6" s="232">
        <v>0.69156665410903606</v>
      </c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45" ht="11.25" customHeight="1" x14ac:dyDescent="0.2">
      <c r="A7" s="71" t="s">
        <v>108</v>
      </c>
      <c r="B7" s="203">
        <v>562</v>
      </c>
      <c r="C7" s="203">
        <v>230</v>
      </c>
      <c r="D7" s="203">
        <v>332</v>
      </c>
      <c r="E7" s="203">
        <v>70.25</v>
      </c>
      <c r="F7" s="232">
        <v>0.68873393056287457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45" ht="11.25" customHeight="1" x14ac:dyDescent="0.2">
      <c r="A8" s="71" t="s">
        <v>4</v>
      </c>
      <c r="B8" s="203">
        <v>638</v>
      </c>
      <c r="C8" s="203">
        <v>309</v>
      </c>
      <c r="D8" s="203">
        <v>329</v>
      </c>
      <c r="E8" s="203">
        <v>127.6</v>
      </c>
      <c r="F8" s="232">
        <v>0.77916050950746807</v>
      </c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</row>
    <row r="9" spans="1:45" ht="11.25" customHeight="1" x14ac:dyDescent="0.2">
      <c r="A9" s="71" t="s">
        <v>6</v>
      </c>
      <c r="B9" s="203">
        <v>1214</v>
      </c>
      <c r="C9" s="203">
        <v>306</v>
      </c>
      <c r="D9" s="203">
        <v>908</v>
      </c>
      <c r="E9" s="203">
        <v>173.42857142857142</v>
      </c>
      <c r="F9" s="232">
        <v>0.59692392416017626</v>
      </c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</row>
    <row r="10" spans="1:45" ht="11.25" customHeight="1" thickBot="1" x14ac:dyDescent="0.25">
      <c r="A10" s="124" t="s">
        <v>107</v>
      </c>
      <c r="B10" s="205">
        <f>SUM(B6:B9)</f>
        <v>2928</v>
      </c>
      <c r="C10" s="205">
        <f>SUM(C6:C9)</f>
        <v>1096</v>
      </c>
      <c r="D10" s="205">
        <f>SUM(D6:D9)</f>
        <v>1832</v>
      </c>
      <c r="E10" s="205">
        <f>B10/SUM('1. Instituttoversikt'!F:F)</f>
        <v>73.2</v>
      </c>
      <c r="F10" s="234">
        <f>B10/'Tabell 9'!G10</f>
        <v>0.66367168198158588</v>
      </c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</row>
    <row r="11" spans="1:45" ht="11.25" customHeight="1" thickBot="1" x14ac:dyDescent="0.3">
      <c r="A11" s="152"/>
      <c r="B11" s="208"/>
      <c r="C11" s="208"/>
      <c r="D11" s="208"/>
      <c r="E11" s="208"/>
      <c r="F11" s="235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pans="1:45" ht="11.25" customHeight="1" x14ac:dyDescent="0.2">
      <c r="A12" s="67">
        <f>A19-1</f>
        <v>2020</v>
      </c>
      <c r="B12" s="213"/>
      <c r="C12" s="213"/>
      <c r="D12" s="213"/>
      <c r="E12" s="213"/>
      <c r="F12" s="236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</row>
    <row r="13" spans="1:45" ht="11.25" customHeight="1" x14ac:dyDescent="0.2">
      <c r="A13" s="71" t="s">
        <v>5</v>
      </c>
      <c r="B13" s="216">
        <v>521</v>
      </c>
      <c r="C13" s="216">
        <v>265</v>
      </c>
      <c r="D13" s="203">
        <v>256</v>
      </c>
      <c r="E13" s="203">
        <v>30.647058823529413</v>
      </c>
      <c r="F13" s="232">
        <v>0.69043476186626762</v>
      </c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</row>
    <row r="14" spans="1:45" ht="11.25" customHeight="1" x14ac:dyDescent="0.2">
      <c r="A14" s="71" t="s">
        <v>108</v>
      </c>
      <c r="B14" s="216">
        <v>579</v>
      </c>
      <c r="C14" s="216">
        <v>244</v>
      </c>
      <c r="D14" s="203">
        <v>335</v>
      </c>
      <c r="E14" s="216">
        <v>72.375</v>
      </c>
      <c r="F14" s="237">
        <v>0.73887853806692028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</row>
    <row r="15" spans="1:45" ht="11.25" customHeight="1" x14ac:dyDescent="0.2">
      <c r="A15" s="71" t="s">
        <v>4</v>
      </c>
      <c r="B15" s="203">
        <v>634</v>
      </c>
      <c r="C15" s="203">
        <v>311</v>
      </c>
      <c r="D15" s="203">
        <v>323</v>
      </c>
      <c r="E15" s="203">
        <v>126.8</v>
      </c>
      <c r="F15" s="232">
        <v>0.81878293212108699</v>
      </c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45" ht="11.25" customHeight="1" x14ac:dyDescent="0.2">
      <c r="A16" s="71" t="s">
        <v>6</v>
      </c>
      <c r="B16" s="203">
        <v>1192</v>
      </c>
      <c r="C16" s="203">
        <v>316</v>
      </c>
      <c r="D16" s="203">
        <v>876</v>
      </c>
      <c r="E16" s="203">
        <v>170.28571428571428</v>
      </c>
      <c r="F16" s="232">
        <v>0.59411665021880633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ht="11.25" customHeight="1" thickBot="1" x14ac:dyDescent="0.25">
      <c r="A17" s="124" t="s">
        <v>107</v>
      </c>
      <c r="B17" s="205">
        <f>SUM(B13:B16)</f>
        <v>2926</v>
      </c>
      <c r="C17" s="205">
        <f>SUM(C13:C16)</f>
        <v>1136</v>
      </c>
      <c r="D17" s="205">
        <f>SUM(D13:D16)</f>
        <v>1790</v>
      </c>
      <c r="E17" s="205">
        <f>B17/SUM('1. Instituttoversikt'!F:F)</f>
        <v>73.150000000000006</v>
      </c>
      <c r="F17" s="234">
        <f>B17/'Tabell 9'!G17</f>
        <v>0.67749093109157765</v>
      </c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1:26" ht="11.25" customHeight="1" thickBot="1" x14ac:dyDescent="0.3">
      <c r="A18" s="152"/>
      <c r="B18" s="208"/>
      <c r="C18" s="208"/>
      <c r="D18" s="208"/>
      <c r="E18" s="208"/>
      <c r="F18" s="235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</row>
    <row r="19" spans="1:26" ht="11.25" customHeight="1" x14ac:dyDescent="0.2">
      <c r="A19" s="67">
        <f>A26-1</f>
        <v>2021</v>
      </c>
      <c r="B19" s="213"/>
      <c r="C19" s="213"/>
      <c r="D19" s="213"/>
      <c r="E19" s="213"/>
      <c r="F19" s="236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</row>
    <row r="20" spans="1:26" ht="11.25" customHeight="1" x14ac:dyDescent="0.2">
      <c r="A20" s="71" t="s">
        <v>5</v>
      </c>
      <c r="B20" s="216">
        <v>543</v>
      </c>
      <c r="C20" s="216">
        <v>274</v>
      </c>
      <c r="D20" s="203">
        <v>269</v>
      </c>
      <c r="E20" s="203">
        <v>31.941176470588236</v>
      </c>
      <c r="F20" s="232">
        <v>0.68035734422573324</v>
      </c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</row>
    <row r="21" spans="1:26" ht="11.25" customHeight="1" x14ac:dyDescent="0.2">
      <c r="A21" s="71" t="s">
        <v>108</v>
      </c>
      <c r="B21" s="216">
        <v>690</v>
      </c>
      <c r="C21" s="216">
        <v>296</v>
      </c>
      <c r="D21" s="203">
        <v>394</v>
      </c>
      <c r="E21" s="216">
        <v>86.25</v>
      </c>
      <c r="F21" s="237">
        <v>0.75801685214277081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11.25" customHeight="1" x14ac:dyDescent="0.2">
      <c r="A22" s="71" t="s">
        <v>4</v>
      </c>
      <c r="B22" s="203">
        <v>639</v>
      </c>
      <c r="C22" s="203">
        <v>315</v>
      </c>
      <c r="D22" s="203">
        <v>324</v>
      </c>
      <c r="E22" s="203">
        <v>127.8</v>
      </c>
      <c r="F22" s="232">
        <v>0.82617914770376499</v>
      </c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1:26" ht="11.25" customHeight="1" x14ac:dyDescent="0.2">
      <c r="A23" s="71" t="s">
        <v>6</v>
      </c>
      <c r="B23" s="203">
        <v>1318</v>
      </c>
      <c r="C23" s="203">
        <v>367</v>
      </c>
      <c r="D23" s="203">
        <v>951</v>
      </c>
      <c r="E23" s="203">
        <v>188.28571428571428</v>
      </c>
      <c r="F23" s="232">
        <v>0.61786559782481321</v>
      </c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</row>
    <row r="24" spans="1:26" ht="11.25" customHeight="1" thickBot="1" x14ac:dyDescent="0.25">
      <c r="A24" s="124" t="s">
        <v>107</v>
      </c>
      <c r="B24" s="205">
        <f>SUM(B20:B23)</f>
        <v>3190</v>
      </c>
      <c r="C24" s="205">
        <f>SUM(C20:C23)</f>
        <v>1252</v>
      </c>
      <c r="D24" s="205">
        <f>SUM(D20:D23)</f>
        <v>1938</v>
      </c>
      <c r="E24" s="205">
        <f>B24/SUM('1. Instituttoversikt'!F:F)</f>
        <v>79.75</v>
      </c>
      <c r="F24" s="234">
        <f>B24/'Tabell 9'!G24</f>
        <v>0.69122876205045758</v>
      </c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</row>
    <row r="25" spans="1:26" ht="11.25" customHeight="1" thickBot="1" x14ac:dyDescent="0.3">
      <c r="A25" s="152"/>
      <c r="B25" s="208"/>
      <c r="C25" s="208"/>
      <c r="D25" s="208"/>
      <c r="E25" s="208"/>
      <c r="F25" s="235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</row>
    <row r="26" spans="1:26" ht="11.25" customHeight="1" x14ac:dyDescent="0.2">
      <c r="A26" s="67">
        <f>A33-1</f>
        <v>2022</v>
      </c>
      <c r="B26" s="213"/>
      <c r="C26" s="213"/>
      <c r="D26" s="213"/>
      <c r="E26" s="213"/>
      <c r="F26" s="236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</row>
    <row r="27" spans="1:26" ht="11.25" customHeight="1" x14ac:dyDescent="0.2">
      <c r="A27" s="71" t="s">
        <v>5</v>
      </c>
      <c r="B27" s="216">
        <v>579</v>
      </c>
      <c r="C27" s="216">
        <v>307</v>
      </c>
      <c r="D27" s="203">
        <v>272</v>
      </c>
      <c r="E27" s="203">
        <v>34.058823529411768</v>
      </c>
      <c r="F27" s="232">
        <v>0.69171495131712557</v>
      </c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</row>
    <row r="28" spans="1:26" ht="11.25" customHeight="1" x14ac:dyDescent="0.2">
      <c r="A28" s="71" t="s">
        <v>108</v>
      </c>
      <c r="B28" s="216">
        <v>705</v>
      </c>
      <c r="C28" s="216">
        <v>314</v>
      </c>
      <c r="D28" s="203">
        <v>391</v>
      </c>
      <c r="E28" s="216">
        <v>88.125</v>
      </c>
      <c r="F28" s="237">
        <v>0.708215297450425</v>
      </c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</row>
    <row r="29" spans="1:26" ht="11.25" customHeight="1" x14ac:dyDescent="0.2">
      <c r="A29" s="71" t="s">
        <v>4</v>
      </c>
      <c r="B29" s="203">
        <v>638</v>
      </c>
      <c r="C29" s="203">
        <v>324</v>
      </c>
      <c r="D29" s="203">
        <v>314</v>
      </c>
      <c r="E29" s="203">
        <v>127.6</v>
      </c>
      <c r="F29" s="232">
        <v>0.79579897968093194</v>
      </c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</row>
    <row r="30" spans="1:26" ht="11.25" customHeight="1" x14ac:dyDescent="0.2">
      <c r="A30" s="71" t="s">
        <v>6</v>
      </c>
      <c r="B30" s="203">
        <v>1337</v>
      </c>
      <c r="C30" s="203">
        <v>366</v>
      </c>
      <c r="D30" s="203">
        <v>971</v>
      </c>
      <c r="E30" s="203">
        <v>191</v>
      </c>
      <c r="F30" s="232">
        <v>0.61741792774778681</v>
      </c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</row>
    <row r="31" spans="1:26" ht="11.25" customHeight="1" thickBot="1" x14ac:dyDescent="0.25">
      <c r="A31" s="124" t="s">
        <v>107</v>
      </c>
      <c r="B31" s="205">
        <f>SUM(B27:B30)</f>
        <v>3259</v>
      </c>
      <c r="C31" s="205">
        <f>SUM(C27:C30)</f>
        <v>1311</v>
      </c>
      <c r="D31" s="205">
        <f>SUM(D27:D30)</f>
        <v>1948</v>
      </c>
      <c r="E31" s="205">
        <f>B31/SUM('1. Instituttoversikt'!F:F)</f>
        <v>81.474999999999994</v>
      </c>
      <c r="F31" s="234">
        <f>B31/'Tabell 9'!G31</f>
        <v>0.67900218555781722</v>
      </c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</row>
    <row r="32" spans="1:26" ht="11.25" customHeight="1" thickBot="1" x14ac:dyDescent="0.3">
      <c r="A32" s="152"/>
      <c r="B32" s="208"/>
      <c r="C32" s="208"/>
      <c r="D32" s="208"/>
      <c r="E32" s="208"/>
      <c r="F32" s="235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</row>
    <row r="33" spans="1:26" ht="11.25" customHeight="1" x14ac:dyDescent="0.2">
      <c r="A33" s="67">
        <v>2023</v>
      </c>
      <c r="B33" s="213"/>
      <c r="C33" s="213"/>
      <c r="D33" s="213"/>
      <c r="E33" s="213"/>
      <c r="F33" s="236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</row>
    <row r="34" spans="1:26" ht="11.25" customHeight="1" x14ac:dyDescent="0.2">
      <c r="A34" s="71" t="s">
        <v>5</v>
      </c>
      <c r="B34" s="203">
        <v>613</v>
      </c>
      <c r="C34" s="203">
        <v>336</v>
      </c>
      <c r="D34" s="203">
        <v>277</v>
      </c>
      <c r="E34" s="203">
        <v>36.058823529411768</v>
      </c>
      <c r="F34" s="232">
        <v>0.75158470347347395</v>
      </c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</row>
    <row r="35" spans="1:26" ht="11.25" customHeight="1" x14ac:dyDescent="0.2">
      <c r="A35" s="71" t="s">
        <v>108</v>
      </c>
      <c r="B35" s="203">
        <v>730</v>
      </c>
      <c r="C35" s="203">
        <v>339</v>
      </c>
      <c r="D35" s="203">
        <v>391</v>
      </c>
      <c r="E35" s="203">
        <v>91.25</v>
      </c>
      <c r="F35" s="232">
        <v>0.72228598567301228</v>
      </c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</row>
    <row r="36" spans="1:26" ht="11.25" customHeight="1" x14ac:dyDescent="0.2">
      <c r="A36" s="71" t="s">
        <v>4</v>
      </c>
      <c r="B36" s="203">
        <v>675</v>
      </c>
      <c r="C36" s="203">
        <v>344</v>
      </c>
      <c r="D36" s="203">
        <v>331</v>
      </c>
      <c r="E36" s="203">
        <v>135</v>
      </c>
      <c r="F36" s="232">
        <v>0.81533555587766349</v>
      </c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</row>
    <row r="37" spans="1:26" ht="11.25" customHeight="1" x14ac:dyDescent="0.2">
      <c r="A37" s="71" t="s">
        <v>6</v>
      </c>
      <c r="B37" s="203">
        <v>1386</v>
      </c>
      <c r="C37" s="203">
        <v>395</v>
      </c>
      <c r="D37" s="203">
        <v>991</v>
      </c>
      <c r="E37" s="203">
        <v>198</v>
      </c>
      <c r="F37" s="232">
        <v>0.63280736357659428</v>
      </c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</row>
    <row r="38" spans="1:26" ht="11.25" customHeight="1" thickBot="1" x14ac:dyDescent="0.25">
      <c r="A38" s="124" t="s">
        <v>107</v>
      </c>
      <c r="B38" s="205">
        <f>SUM(B34:B37)</f>
        <v>3404</v>
      </c>
      <c r="C38" s="205">
        <f>SUM(C34:C37)</f>
        <v>1414</v>
      </c>
      <c r="D38" s="205">
        <f>SUM(D34:D37)</f>
        <v>1990</v>
      </c>
      <c r="E38" s="205">
        <f>B38/SUM('1. Instituttoversikt'!F:F)</f>
        <v>85.1</v>
      </c>
      <c r="F38" s="234">
        <f>B38/'Tabell 9'!G38</f>
        <v>0.70266554647521573</v>
      </c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</row>
    <row r="39" spans="1:26" ht="11.25" customHeight="1" x14ac:dyDescent="0.2">
      <c r="B39" s="233"/>
      <c r="C39" s="233"/>
      <c r="D39" s="233"/>
      <c r="E39" s="233"/>
      <c r="F39" s="238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</row>
    <row r="40" spans="1:26" ht="11.25" customHeight="1" x14ac:dyDescent="0.2">
      <c r="A40" s="10" t="s">
        <v>210</v>
      </c>
    </row>
  </sheetData>
  <phoneticPr fontId="5" type="noConversion"/>
  <pageMargins left="0.78740157499999996" right="0.78740157499999996" top="0.984251969" bottom="0.984251969" header="0.5" footer="0.5"/>
  <pageSetup paperSize="9" scale="88" orientation="landscape" verticalDpi="4294967292" r:id="rId1"/>
  <headerFooter alignWithMargins="0"/>
  <rowBreaks count="1" manualBreakCount="1">
    <brk id="41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10"/>
  <dimension ref="A1:AX85"/>
  <sheetViews>
    <sheetView showGridLines="0" topLeftCell="A3" zoomScale="115" zoomScaleNormal="115" zoomScaleSheetLayoutView="100" workbookViewId="0">
      <selection activeCell="A34" sqref="A34"/>
    </sheetView>
  </sheetViews>
  <sheetFormatPr baseColWidth="10" defaultColWidth="8.88671875" defaultRowHeight="11.25" customHeight="1" x14ac:dyDescent="0.2"/>
  <cols>
    <col min="1" max="1" width="37.44140625" style="257" customWidth="1"/>
    <col min="2" max="2" width="4.88671875" style="257" customWidth="1"/>
    <col min="3" max="3" width="6.44140625" style="257" customWidth="1"/>
    <col min="4" max="4" width="7.5546875" style="257" customWidth="1"/>
    <col min="5" max="5" width="5.44140625" style="257" customWidth="1"/>
    <col min="6" max="6" width="7" style="264" bestFit="1" customWidth="1"/>
    <col min="7" max="8" width="6.109375" style="264" bestFit="1" customWidth="1"/>
    <col min="9" max="9" width="4" style="264" customWidth="1"/>
    <col min="10" max="10" width="7" style="264" bestFit="1" customWidth="1"/>
    <col min="11" max="12" width="6.109375" style="264" bestFit="1" customWidth="1"/>
    <col min="13" max="13" width="4.88671875" style="264" customWidth="1"/>
    <col min="14" max="14" width="7.88671875" style="264" customWidth="1"/>
    <col min="15" max="15" width="8.5546875" style="264" customWidth="1"/>
    <col min="16" max="16" width="9.5546875" style="264" customWidth="1"/>
    <col min="17" max="26" width="10.5546875" style="257" customWidth="1"/>
    <col min="27" max="16384" width="8.88671875" style="257"/>
  </cols>
  <sheetData>
    <row r="1" spans="1:50" s="241" customFormat="1" ht="12" customHeight="1" x14ac:dyDescent="0.25">
      <c r="A1" s="240" t="str">
        <f>Tabelloversikt!A16</f>
        <v>Tabell 11 Antall avlagte doktorgrader der institutttet har bidratt med veiledning og antall avlagte av instituttets egne forskere. 2019-2023</v>
      </c>
      <c r="B1" s="240"/>
      <c r="C1" s="240"/>
      <c r="D1" s="240"/>
      <c r="E1" s="240"/>
      <c r="J1" s="242"/>
    </row>
    <row r="2" spans="1:50" s="244" customFormat="1" ht="12" customHeight="1" x14ac:dyDescent="0.25">
      <c r="A2" s="243"/>
      <c r="B2" s="243"/>
      <c r="C2" s="243"/>
      <c r="D2" s="243"/>
      <c r="E2" s="243"/>
      <c r="J2" s="245"/>
    </row>
    <row r="3" spans="1:50" s="250" customFormat="1" ht="43.5" customHeight="1" x14ac:dyDescent="0.2">
      <c r="A3" s="246"/>
      <c r="B3" s="475" t="s">
        <v>222</v>
      </c>
      <c r="C3" s="475"/>
      <c r="D3" s="475"/>
      <c r="E3" s="247"/>
      <c r="F3" s="474" t="s">
        <v>129</v>
      </c>
      <c r="G3" s="474"/>
      <c r="H3" s="474"/>
      <c r="I3" s="248"/>
      <c r="J3" s="474" t="s">
        <v>94</v>
      </c>
      <c r="K3" s="474"/>
      <c r="L3" s="474"/>
      <c r="M3" s="247"/>
      <c r="N3" s="474" t="s">
        <v>208</v>
      </c>
      <c r="O3" s="474"/>
      <c r="P3" s="474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</row>
    <row r="4" spans="1:50" s="255" customFormat="1" ht="10.8" thickBot="1" x14ac:dyDescent="0.25">
      <c r="A4" s="251"/>
      <c r="B4" s="252" t="s">
        <v>0</v>
      </c>
      <c r="C4" s="252" t="s">
        <v>24</v>
      </c>
      <c r="D4" s="252" t="s">
        <v>17</v>
      </c>
      <c r="E4" s="252"/>
      <c r="F4" s="252" t="s">
        <v>0</v>
      </c>
      <c r="G4" s="252" t="s">
        <v>24</v>
      </c>
      <c r="H4" s="252" t="s">
        <v>17</v>
      </c>
      <c r="I4" s="252"/>
      <c r="J4" s="252" t="s">
        <v>0</v>
      </c>
      <c r="K4" s="252" t="s">
        <v>24</v>
      </c>
      <c r="L4" s="252" t="s">
        <v>17</v>
      </c>
      <c r="M4" s="253"/>
      <c r="N4" s="252" t="s">
        <v>0</v>
      </c>
      <c r="O4" s="252" t="s">
        <v>24</v>
      </c>
      <c r="P4" s="252" t="s">
        <v>17</v>
      </c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</row>
    <row r="5" spans="1:50" ht="11.25" customHeight="1" x14ac:dyDescent="0.25">
      <c r="A5" s="67">
        <f ca="1">YEAR(NOW())-5</f>
        <v>2019</v>
      </c>
      <c r="B5" s="67"/>
      <c r="C5" s="67"/>
      <c r="D5" s="67"/>
      <c r="E5" s="67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</row>
    <row r="6" spans="1:50" ht="11.25" customHeight="1" x14ac:dyDescent="0.2">
      <c r="A6" s="71" t="s">
        <v>5</v>
      </c>
      <c r="B6" s="258">
        <v>111</v>
      </c>
      <c r="C6" s="258">
        <v>67</v>
      </c>
      <c r="D6" s="258">
        <v>44</v>
      </c>
      <c r="E6" s="258"/>
      <c r="F6" s="203">
        <v>27</v>
      </c>
      <c r="G6" s="203">
        <v>12</v>
      </c>
      <c r="H6" s="203">
        <v>15</v>
      </c>
      <c r="I6" s="203"/>
      <c r="J6" s="216">
        <v>20</v>
      </c>
      <c r="K6" s="216">
        <v>11</v>
      </c>
      <c r="L6" s="203">
        <v>9</v>
      </c>
      <c r="M6" s="203"/>
      <c r="N6" s="203">
        <v>17</v>
      </c>
      <c r="O6" s="203">
        <v>8</v>
      </c>
      <c r="P6" s="203">
        <v>9</v>
      </c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</row>
    <row r="7" spans="1:50" ht="11.25" customHeight="1" x14ac:dyDescent="0.2">
      <c r="A7" s="71" t="s">
        <v>108</v>
      </c>
      <c r="B7" s="258">
        <v>59</v>
      </c>
      <c r="C7" s="258">
        <v>29</v>
      </c>
      <c r="D7" s="258">
        <v>30</v>
      </c>
      <c r="E7" s="258"/>
      <c r="F7" s="203">
        <v>11</v>
      </c>
      <c r="G7" s="203">
        <v>3</v>
      </c>
      <c r="H7" s="203">
        <v>8</v>
      </c>
      <c r="I7" s="203"/>
      <c r="J7" s="216">
        <v>28</v>
      </c>
      <c r="K7" s="216">
        <v>8</v>
      </c>
      <c r="L7" s="203">
        <v>20</v>
      </c>
      <c r="M7" s="203"/>
      <c r="N7" s="203">
        <v>11</v>
      </c>
      <c r="O7" s="203">
        <v>3</v>
      </c>
      <c r="P7" s="203">
        <v>8</v>
      </c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</row>
    <row r="8" spans="1:50" ht="11.25" customHeight="1" x14ac:dyDescent="0.2">
      <c r="A8" s="71" t="s">
        <v>4</v>
      </c>
      <c r="B8" s="258">
        <v>51</v>
      </c>
      <c r="C8" s="258">
        <v>31</v>
      </c>
      <c r="D8" s="258">
        <v>20</v>
      </c>
      <c r="E8" s="258"/>
      <c r="F8" s="203">
        <v>8</v>
      </c>
      <c r="G8" s="203">
        <v>2</v>
      </c>
      <c r="H8" s="203">
        <v>6</v>
      </c>
      <c r="I8" s="203"/>
      <c r="J8" s="203">
        <v>19</v>
      </c>
      <c r="K8" s="203">
        <v>7</v>
      </c>
      <c r="L8" s="203">
        <v>12</v>
      </c>
      <c r="M8" s="203"/>
      <c r="N8" s="203">
        <v>7</v>
      </c>
      <c r="O8" s="203">
        <v>2</v>
      </c>
      <c r="P8" s="203">
        <v>5</v>
      </c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</row>
    <row r="9" spans="1:50" ht="11.25" customHeight="1" x14ac:dyDescent="0.2">
      <c r="A9" s="71" t="s">
        <v>6</v>
      </c>
      <c r="B9" s="258">
        <v>141</v>
      </c>
      <c r="C9" s="258">
        <v>54</v>
      </c>
      <c r="D9" s="258">
        <v>87</v>
      </c>
      <c r="E9" s="258"/>
      <c r="F9" s="203">
        <v>38</v>
      </c>
      <c r="G9" s="203">
        <v>11</v>
      </c>
      <c r="H9" s="203">
        <v>27</v>
      </c>
      <c r="I9" s="203"/>
      <c r="J9" s="203">
        <v>54</v>
      </c>
      <c r="K9" s="203">
        <v>12</v>
      </c>
      <c r="L9" s="203">
        <v>42</v>
      </c>
      <c r="M9" s="203"/>
      <c r="N9" s="203">
        <v>19</v>
      </c>
      <c r="O9" s="203">
        <v>0</v>
      </c>
      <c r="P9" s="203">
        <v>19</v>
      </c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</row>
    <row r="10" spans="1:50" ht="11.25" customHeight="1" thickBot="1" x14ac:dyDescent="0.25">
      <c r="A10" s="124" t="s">
        <v>107</v>
      </c>
      <c r="B10" s="260">
        <f>SUM(B6:B9)</f>
        <v>362</v>
      </c>
      <c r="C10" s="260">
        <f t="shared" ref="C10:D10" si="0">SUM(C6:C9)</f>
        <v>181</v>
      </c>
      <c r="D10" s="260">
        <f t="shared" si="0"/>
        <v>181</v>
      </c>
      <c r="E10" s="124"/>
      <c r="F10" s="205">
        <f>SUM(F6:F9)</f>
        <v>84</v>
      </c>
      <c r="G10" s="205">
        <f>SUM(G6:G9)</f>
        <v>28</v>
      </c>
      <c r="H10" s="205">
        <f>SUM(H6:H9)</f>
        <v>56</v>
      </c>
      <c r="I10" s="205"/>
      <c r="J10" s="205">
        <f>SUM(J6:J9)</f>
        <v>121</v>
      </c>
      <c r="K10" s="205">
        <f>SUM(K6:K9)</f>
        <v>38</v>
      </c>
      <c r="L10" s="205">
        <f>SUM(L6:L9)</f>
        <v>83</v>
      </c>
      <c r="M10" s="205"/>
      <c r="N10" s="205">
        <f>SUM(N6:N9)</f>
        <v>54</v>
      </c>
      <c r="O10" s="205">
        <f>SUM(O6:O9)</f>
        <v>13</v>
      </c>
      <c r="P10" s="205">
        <f>SUM(P6:P9)</f>
        <v>41</v>
      </c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</row>
    <row r="11" spans="1:50" ht="11.25" customHeight="1" thickBot="1" x14ac:dyDescent="0.3">
      <c r="A11" s="152"/>
      <c r="B11" s="261"/>
      <c r="C11" s="261"/>
      <c r="D11" s="152"/>
      <c r="E11" s="152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</row>
    <row r="12" spans="1:50" ht="11.25" customHeight="1" x14ac:dyDescent="0.2">
      <c r="A12" s="67">
        <f>A19-1</f>
        <v>2020</v>
      </c>
      <c r="B12" s="262"/>
      <c r="C12" s="262"/>
      <c r="D12" s="67"/>
      <c r="E12" s="67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</row>
    <row r="13" spans="1:50" ht="11.25" customHeight="1" x14ac:dyDescent="0.2">
      <c r="A13" s="71" t="s">
        <v>5</v>
      </c>
      <c r="B13" s="258">
        <v>96</v>
      </c>
      <c r="C13" s="258">
        <v>63</v>
      </c>
      <c r="D13" s="258">
        <v>33</v>
      </c>
      <c r="E13" s="71"/>
      <c r="F13" s="216">
        <v>27</v>
      </c>
      <c r="G13" s="9">
        <v>19</v>
      </c>
      <c r="H13" s="203">
        <v>8</v>
      </c>
      <c r="I13" s="203"/>
      <c r="J13" s="216">
        <v>21</v>
      </c>
      <c r="K13" s="216">
        <v>13</v>
      </c>
      <c r="L13" s="203">
        <v>8</v>
      </c>
      <c r="M13" s="9"/>
      <c r="N13" s="216">
        <v>19</v>
      </c>
      <c r="O13" s="9">
        <v>12</v>
      </c>
      <c r="P13" s="203">
        <v>7</v>
      </c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</row>
    <row r="14" spans="1:50" ht="11.25" customHeight="1" x14ac:dyDescent="0.2">
      <c r="A14" s="71" t="s">
        <v>108</v>
      </c>
      <c r="B14" s="258">
        <v>63</v>
      </c>
      <c r="C14" s="258">
        <v>34</v>
      </c>
      <c r="D14" s="258">
        <v>29</v>
      </c>
      <c r="E14" s="71"/>
      <c r="F14" s="216">
        <v>9</v>
      </c>
      <c r="G14" s="216">
        <v>3</v>
      </c>
      <c r="H14" s="203">
        <v>6</v>
      </c>
      <c r="I14" s="203"/>
      <c r="J14" s="216">
        <v>21</v>
      </c>
      <c r="K14" s="216">
        <v>10</v>
      </c>
      <c r="L14" s="203">
        <v>11</v>
      </c>
      <c r="M14" s="216"/>
      <c r="N14" s="216">
        <v>7</v>
      </c>
      <c r="O14" s="216">
        <v>3</v>
      </c>
      <c r="P14" s="203">
        <v>4</v>
      </c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</row>
    <row r="15" spans="1:50" ht="11.25" customHeight="1" x14ac:dyDescent="0.2">
      <c r="A15" s="71" t="s">
        <v>4</v>
      </c>
      <c r="B15" s="258">
        <v>46</v>
      </c>
      <c r="C15" s="258">
        <v>22</v>
      </c>
      <c r="D15" s="258">
        <v>24</v>
      </c>
      <c r="E15" s="71"/>
      <c r="F15" s="203">
        <v>13</v>
      </c>
      <c r="G15" s="203">
        <v>10</v>
      </c>
      <c r="H15" s="203">
        <v>3</v>
      </c>
      <c r="I15" s="203"/>
      <c r="J15" s="203">
        <v>16</v>
      </c>
      <c r="K15" s="203">
        <v>11</v>
      </c>
      <c r="L15" s="203">
        <v>5</v>
      </c>
      <c r="M15" s="203"/>
      <c r="N15" s="203">
        <v>13</v>
      </c>
      <c r="O15" s="203">
        <v>10</v>
      </c>
      <c r="P15" s="203">
        <v>3</v>
      </c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</row>
    <row r="16" spans="1:50" ht="11.25" customHeight="1" x14ac:dyDescent="0.2">
      <c r="A16" s="71" t="s">
        <v>6</v>
      </c>
      <c r="B16" s="258">
        <v>152</v>
      </c>
      <c r="C16" s="258">
        <v>58</v>
      </c>
      <c r="D16" s="258">
        <v>94</v>
      </c>
      <c r="E16" s="71"/>
      <c r="F16" s="203">
        <v>37</v>
      </c>
      <c r="G16" s="203">
        <v>12</v>
      </c>
      <c r="H16" s="203">
        <v>25</v>
      </c>
      <c r="I16" s="203"/>
      <c r="J16" s="203">
        <v>60</v>
      </c>
      <c r="K16" s="203">
        <v>15</v>
      </c>
      <c r="L16" s="203">
        <v>45</v>
      </c>
      <c r="M16" s="203"/>
      <c r="N16" s="203">
        <v>13</v>
      </c>
      <c r="O16" s="203">
        <v>1</v>
      </c>
      <c r="P16" s="203">
        <v>12</v>
      </c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</row>
    <row r="17" spans="1:31" ht="11.25" customHeight="1" thickBot="1" x14ac:dyDescent="0.25">
      <c r="A17" s="124" t="s">
        <v>107</v>
      </c>
      <c r="B17" s="260">
        <f>SUM(B13:B16)</f>
        <v>357</v>
      </c>
      <c r="C17" s="260">
        <f t="shared" ref="C17" si="1">SUM(C13:C16)</f>
        <v>177</v>
      </c>
      <c r="D17" s="260">
        <f t="shared" ref="D17" si="2">SUM(D13:D16)</f>
        <v>180</v>
      </c>
      <c r="E17" s="124"/>
      <c r="F17" s="205">
        <f>SUM(F13:F16)</f>
        <v>86</v>
      </c>
      <c r="G17" s="205">
        <f>SUM(G13:G16)</f>
        <v>44</v>
      </c>
      <c r="H17" s="205">
        <f>SUM(H13:H16)</f>
        <v>42</v>
      </c>
      <c r="I17" s="205"/>
      <c r="J17" s="205">
        <f>SUM(J13:J16)</f>
        <v>118</v>
      </c>
      <c r="K17" s="205">
        <f>SUM(K13:K16)</f>
        <v>49</v>
      </c>
      <c r="L17" s="205">
        <f>SUM(L13:L16)</f>
        <v>69</v>
      </c>
      <c r="M17" s="205"/>
      <c r="N17" s="205">
        <f>SUM(N13:N16)</f>
        <v>52</v>
      </c>
      <c r="O17" s="205">
        <f>SUM(O13:O16)</f>
        <v>26</v>
      </c>
      <c r="P17" s="205">
        <f>SUM(P13:P16)</f>
        <v>26</v>
      </c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</row>
    <row r="18" spans="1:31" ht="11.25" customHeight="1" thickBot="1" x14ac:dyDescent="0.3">
      <c r="A18" s="152"/>
      <c r="B18" s="261"/>
      <c r="C18" s="261"/>
      <c r="D18" s="152"/>
      <c r="E18" s="152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</row>
    <row r="19" spans="1:31" ht="11.25" customHeight="1" x14ac:dyDescent="0.2">
      <c r="A19" s="67">
        <f>A26-1</f>
        <v>2021</v>
      </c>
      <c r="B19" s="262"/>
      <c r="C19" s="262"/>
      <c r="D19" s="67"/>
      <c r="E19" s="67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</row>
    <row r="20" spans="1:31" ht="11.25" customHeight="1" x14ac:dyDescent="0.2">
      <c r="A20" s="71" t="s">
        <v>5</v>
      </c>
      <c r="B20" s="258">
        <v>107</v>
      </c>
      <c r="C20" s="258">
        <v>66</v>
      </c>
      <c r="D20" s="258">
        <v>41</v>
      </c>
      <c r="E20" s="71"/>
      <c r="F20" s="216">
        <v>26</v>
      </c>
      <c r="G20" s="9">
        <v>19</v>
      </c>
      <c r="H20" s="203">
        <v>7</v>
      </c>
      <c r="I20" s="203"/>
      <c r="J20" s="216">
        <v>18</v>
      </c>
      <c r="K20" s="216">
        <v>10</v>
      </c>
      <c r="L20" s="203">
        <v>8</v>
      </c>
      <c r="M20" s="9"/>
      <c r="N20" s="216">
        <v>19</v>
      </c>
      <c r="O20" s="9">
        <v>15</v>
      </c>
      <c r="P20" s="203">
        <v>4</v>
      </c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</row>
    <row r="21" spans="1:31" ht="11.25" customHeight="1" x14ac:dyDescent="0.2">
      <c r="A21" s="71" t="s">
        <v>108</v>
      </c>
      <c r="B21" s="258">
        <v>88</v>
      </c>
      <c r="C21" s="258">
        <v>52</v>
      </c>
      <c r="D21" s="258">
        <v>36</v>
      </c>
      <c r="E21" s="71"/>
      <c r="F21" s="216">
        <v>18</v>
      </c>
      <c r="G21" s="216">
        <v>9</v>
      </c>
      <c r="H21" s="203">
        <v>9</v>
      </c>
      <c r="I21" s="203"/>
      <c r="J21" s="216">
        <v>22</v>
      </c>
      <c r="K21" s="216">
        <v>10</v>
      </c>
      <c r="L21" s="203">
        <v>12</v>
      </c>
      <c r="M21" s="216"/>
      <c r="N21" s="216">
        <v>10</v>
      </c>
      <c r="O21" s="216">
        <v>4</v>
      </c>
      <c r="P21" s="203">
        <v>6</v>
      </c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</row>
    <row r="22" spans="1:31" ht="11.25" customHeight="1" x14ac:dyDescent="0.2">
      <c r="A22" s="71" t="s">
        <v>4</v>
      </c>
      <c r="B22" s="258">
        <v>53</v>
      </c>
      <c r="C22" s="258">
        <v>30</v>
      </c>
      <c r="D22" s="258">
        <v>23</v>
      </c>
      <c r="E22" s="71"/>
      <c r="F22" s="203">
        <v>13</v>
      </c>
      <c r="G22" s="203">
        <v>9</v>
      </c>
      <c r="H22" s="203">
        <v>4</v>
      </c>
      <c r="I22" s="203"/>
      <c r="J22" s="203">
        <v>29</v>
      </c>
      <c r="K22" s="203">
        <v>16</v>
      </c>
      <c r="L22" s="203">
        <v>13</v>
      </c>
      <c r="M22" s="203"/>
      <c r="N22" s="203">
        <v>13</v>
      </c>
      <c r="O22" s="203">
        <v>9</v>
      </c>
      <c r="P22" s="203">
        <v>4</v>
      </c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</row>
    <row r="23" spans="1:31" ht="11.25" customHeight="1" x14ac:dyDescent="0.2">
      <c r="A23" s="71" t="s">
        <v>6</v>
      </c>
      <c r="B23" s="258">
        <v>164</v>
      </c>
      <c r="C23" s="258">
        <v>60</v>
      </c>
      <c r="D23" s="258">
        <v>104</v>
      </c>
      <c r="E23" s="71"/>
      <c r="F23" s="203">
        <v>33</v>
      </c>
      <c r="G23" s="203">
        <v>8</v>
      </c>
      <c r="H23" s="203">
        <v>25</v>
      </c>
      <c r="I23" s="203"/>
      <c r="J23" s="203">
        <v>49</v>
      </c>
      <c r="K23" s="203">
        <v>15</v>
      </c>
      <c r="L23" s="203">
        <v>34</v>
      </c>
      <c r="M23" s="203"/>
      <c r="N23" s="203">
        <v>22</v>
      </c>
      <c r="O23" s="203">
        <v>7</v>
      </c>
      <c r="P23" s="203">
        <v>15</v>
      </c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</row>
    <row r="24" spans="1:31" ht="11.25" customHeight="1" thickBot="1" x14ac:dyDescent="0.25">
      <c r="A24" s="124" t="s">
        <v>107</v>
      </c>
      <c r="B24" s="260">
        <f>SUM(B20:B23)</f>
        <v>412</v>
      </c>
      <c r="C24" s="260">
        <f t="shared" ref="C24" si="3">SUM(C20:C23)</f>
        <v>208</v>
      </c>
      <c r="D24" s="260">
        <f t="shared" ref="D24" si="4">SUM(D20:D23)</f>
        <v>204</v>
      </c>
      <c r="E24" s="124"/>
      <c r="F24" s="205">
        <f>SUM(F20:F23)</f>
        <v>90</v>
      </c>
      <c r="G24" s="205">
        <f>SUM(G20:G23)</f>
        <v>45</v>
      </c>
      <c r="H24" s="205">
        <f>SUM(H20:H23)</f>
        <v>45</v>
      </c>
      <c r="I24" s="205"/>
      <c r="J24" s="205">
        <f>SUM(J20:J23)</f>
        <v>118</v>
      </c>
      <c r="K24" s="205">
        <f>SUM(K20:K23)</f>
        <v>51</v>
      </c>
      <c r="L24" s="205">
        <f>SUM(L20:L23)</f>
        <v>67</v>
      </c>
      <c r="M24" s="205"/>
      <c r="N24" s="205">
        <f>SUM(N20:N23)</f>
        <v>64</v>
      </c>
      <c r="O24" s="205">
        <f>SUM(O20:O23)</f>
        <v>35</v>
      </c>
      <c r="P24" s="205">
        <f>SUM(P20:P23)</f>
        <v>29</v>
      </c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</row>
    <row r="25" spans="1:31" ht="11.25" customHeight="1" thickBot="1" x14ac:dyDescent="0.3">
      <c r="A25" s="152"/>
      <c r="B25" s="261"/>
      <c r="C25" s="261"/>
      <c r="D25" s="152"/>
      <c r="E25" s="152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</row>
    <row r="26" spans="1:31" ht="12.9" customHeight="1" x14ac:dyDescent="0.2">
      <c r="A26" s="67">
        <f>A33-1</f>
        <v>2022</v>
      </c>
      <c r="B26" s="262"/>
      <c r="C26" s="262"/>
      <c r="D26" s="67"/>
      <c r="E26" s="67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</row>
    <row r="27" spans="1:31" ht="11.25" customHeight="1" x14ac:dyDescent="0.2">
      <c r="A27" s="71" t="s">
        <v>5</v>
      </c>
      <c r="B27" s="258">
        <v>112</v>
      </c>
      <c r="C27" s="258">
        <v>66</v>
      </c>
      <c r="D27" s="258">
        <v>46</v>
      </c>
      <c r="E27" s="71"/>
      <c r="F27" s="216">
        <v>29</v>
      </c>
      <c r="G27" s="9">
        <v>21</v>
      </c>
      <c r="H27" s="203">
        <v>8</v>
      </c>
      <c r="I27" s="203"/>
      <c r="J27" s="216">
        <v>13</v>
      </c>
      <c r="K27" s="216">
        <v>6</v>
      </c>
      <c r="L27" s="203">
        <v>7</v>
      </c>
      <c r="M27" s="9"/>
      <c r="N27" s="216">
        <v>12</v>
      </c>
      <c r="O27" s="9">
        <v>9</v>
      </c>
      <c r="P27" s="203">
        <v>3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</row>
    <row r="28" spans="1:31" ht="11.25" customHeight="1" x14ac:dyDescent="0.2">
      <c r="A28" s="71" t="s">
        <v>108</v>
      </c>
      <c r="B28" s="258">
        <v>77</v>
      </c>
      <c r="C28" s="258">
        <v>43</v>
      </c>
      <c r="D28" s="258">
        <v>34</v>
      </c>
      <c r="E28" s="71"/>
      <c r="F28" s="216">
        <v>24</v>
      </c>
      <c r="G28" s="216">
        <v>12</v>
      </c>
      <c r="H28" s="203">
        <v>12</v>
      </c>
      <c r="I28" s="203"/>
      <c r="J28" s="216">
        <v>29</v>
      </c>
      <c r="K28" s="216">
        <v>15</v>
      </c>
      <c r="L28" s="203">
        <v>14</v>
      </c>
      <c r="M28" s="216"/>
      <c r="N28" s="216">
        <v>18</v>
      </c>
      <c r="O28" s="216">
        <v>9</v>
      </c>
      <c r="P28" s="203">
        <v>9</v>
      </c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</row>
    <row r="29" spans="1:31" ht="11.25" customHeight="1" x14ac:dyDescent="0.2">
      <c r="A29" s="71" t="s">
        <v>4</v>
      </c>
      <c r="B29" s="258">
        <v>55</v>
      </c>
      <c r="C29" s="258">
        <v>31</v>
      </c>
      <c r="D29" s="258">
        <v>24</v>
      </c>
      <c r="E29" s="71"/>
      <c r="F29" s="203">
        <v>17</v>
      </c>
      <c r="G29" s="203">
        <v>11</v>
      </c>
      <c r="H29" s="203">
        <v>6</v>
      </c>
      <c r="I29" s="203"/>
      <c r="J29" s="203">
        <v>15</v>
      </c>
      <c r="K29" s="203">
        <v>6</v>
      </c>
      <c r="L29" s="203">
        <v>9</v>
      </c>
      <c r="M29" s="203"/>
      <c r="N29" s="203">
        <v>6</v>
      </c>
      <c r="O29" s="203">
        <v>3</v>
      </c>
      <c r="P29" s="203">
        <v>3</v>
      </c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</row>
    <row r="30" spans="1:31" ht="11.25" customHeight="1" x14ac:dyDescent="0.2">
      <c r="A30" s="71" t="s">
        <v>6</v>
      </c>
      <c r="B30" s="258">
        <v>160</v>
      </c>
      <c r="C30" s="258">
        <v>67</v>
      </c>
      <c r="D30" s="258">
        <v>93</v>
      </c>
      <c r="E30" s="71"/>
      <c r="F30" s="203">
        <v>35</v>
      </c>
      <c r="G30" s="203">
        <v>11</v>
      </c>
      <c r="H30" s="203">
        <v>24</v>
      </c>
      <c r="I30" s="203"/>
      <c r="J30" s="203">
        <v>48</v>
      </c>
      <c r="K30" s="203">
        <v>9</v>
      </c>
      <c r="L30" s="203">
        <v>39</v>
      </c>
      <c r="M30" s="203"/>
      <c r="N30" s="203">
        <v>18</v>
      </c>
      <c r="O30" s="203">
        <v>7</v>
      </c>
      <c r="P30" s="203">
        <v>11</v>
      </c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</row>
    <row r="31" spans="1:31" ht="11.25" customHeight="1" thickBot="1" x14ac:dyDescent="0.25">
      <c r="A31" s="124" t="s">
        <v>107</v>
      </c>
      <c r="B31" s="260">
        <f>SUM(B27:B30)</f>
        <v>404</v>
      </c>
      <c r="C31" s="260">
        <f t="shared" ref="C31" si="5">SUM(C27:C30)</f>
        <v>207</v>
      </c>
      <c r="D31" s="260">
        <f t="shared" ref="D31" si="6">SUM(D27:D30)</f>
        <v>197</v>
      </c>
      <c r="E31" s="124"/>
      <c r="F31" s="205">
        <f>SUM(F27:F30)</f>
        <v>105</v>
      </c>
      <c r="G31" s="205">
        <f>SUM(G27:G30)</f>
        <v>55</v>
      </c>
      <c r="H31" s="205">
        <f>SUM(H27:H30)</f>
        <v>50</v>
      </c>
      <c r="I31" s="205"/>
      <c r="J31" s="205">
        <f>SUM(J27:J30)</f>
        <v>105</v>
      </c>
      <c r="K31" s="205">
        <f>SUM(K27:K30)</f>
        <v>36</v>
      </c>
      <c r="L31" s="205">
        <f>SUM(L27:L30)</f>
        <v>69</v>
      </c>
      <c r="M31" s="205"/>
      <c r="N31" s="205">
        <f>SUM(N27:N30)</f>
        <v>54</v>
      </c>
      <c r="O31" s="205">
        <f>SUM(O27:O30)</f>
        <v>28</v>
      </c>
      <c r="P31" s="205">
        <f>SUM(P27:P30)</f>
        <v>26</v>
      </c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</row>
    <row r="32" spans="1:31" ht="11.25" customHeight="1" thickBot="1" x14ac:dyDescent="0.3">
      <c r="A32" s="152"/>
      <c r="B32" s="261"/>
      <c r="C32" s="261"/>
      <c r="D32" s="152"/>
      <c r="E32" s="152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</row>
    <row r="33" spans="1:31" ht="11.25" customHeight="1" x14ac:dyDescent="0.2">
      <c r="A33" s="67">
        <v>2023</v>
      </c>
      <c r="B33" s="262"/>
      <c r="C33" s="262"/>
      <c r="D33" s="67"/>
      <c r="E33" s="67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</row>
    <row r="34" spans="1:31" ht="11.25" customHeight="1" x14ac:dyDescent="0.2">
      <c r="A34" s="71" t="s">
        <v>5</v>
      </c>
      <c r="B34" s="258">
        <v>96</v>
      </c>
      <c r="C34" s="258">
        <v>60</v>
      </c>
      <c r="D34" s="258">
        <v>36</v>
      </c>
      <c r="E34" s="71"/>
      <c r="F34" s="203">
        <v>38</v>
      </c>
      <c r="G34" s="203">
        <v>23</v>
      </c>
      <c r="H34" s="203">
        <v>15</v>
      </c>
      <c r="I34" s="203"/>
      <c r="J34" s="203">
        <v>28</v>
      </c>
      <c r="K34" s="203">
        <v>15</v>
      </c>
      <c r="L34" s="203">
        <v>13</v>
      </c>
      <c r="M34" s="203"/>
      <c r="N34" s="203">
        <v>24</v>
      </c>
      <c r="O34" s="203">
        <v>15</v>
      </c>
      <c r="P34" s="203">
        <v>9</v>
      </c>
      <c r="Q34" s="203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</row>
    <row r="35" spans="1:31" s="264" customFormat="1" ht="11.25" customHeight="1" x14ac:dyDescent="0.2">
      <c r="A35" s="71" t="s">
        <v>108</v>
      </c>
      <c r="B35" s="258">
        <v>82</v>
      </c>
      <c r="C35" s="258">
        <v>42</v>
      </c>
      <c r="D35" s="258">
        <v>40</v>
      </c>
      <c r="E35" s="71"/>
      <c r="F35" s="203">
        <v>16</v>
      </c>
      <c r="G35" s="203">
        <v>10</v>
      </c>
      <c r="H35" s="203">
        <v>6</v>
      </c>
      <c r="I35" s="203"/>
      <c r="J35" s="203">
        <v>30</v>
      </c>
      <c r="K35" s="203">
        <v>10</v>
      </c>
      <c r="L35" s="203">
        <v>20</v>
      </c>
      <c r="M35" s="203"/>
      <c r="N35" s="203">
        <v>16</v>
      </c>
      <c r="O35" s="203">
        <v>10</v>
      </c>
      <c r="P35" s="203">
        <v>6</v>
      </c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</row>
    <row r="36" spans="1:31" s="264" customFormat="1" ht="11.25" customHeight="1" x14ac:dyDescent="0.2">
      <c r="A36" s="71" t="s">
        <v>4</v>
      </c>
      <c r="B36" s="258">
        <v>56</v>
      </c>
      <c r="C36" s="258">
        <v>35</v>
      </c>
      <c r="D36" s="258">
        <v>21</v>
      </c>
      <c r="E36" s="71"/>
      <c r="F36" s="203">
        <v>16</v>
      </c>
      <c r="G36" s="203">
        <v>9</v>
      </c>
      <c r="H36" s="203">
        <v>7</v>
      </c>
      <c r="I36" s="203"/>
      <c r="J36" s="203">
        <v>17</v>
      </c>
      <c r="K36" s="203">
        <v>8</v>
      </c>
      <c r="L36" s="203">
        <v>9</v>
      </c>
      <c r="M36" s="203"/>
      <c r="N36" s="203">
        <v>13</v>
      </c>
      <c r="O36" s="203">
        <v>8</v>
      </c>
      <c r="P36" s="203">
        <v>5</v>
      </c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</row>
    <row r="37" spans="1:31" ht="11.25" customHeight="1" x14ac:dyDescent="0.2">
      <c r="A37" s="71" t="s">
        <v>6</v>
      </c>
      <c r="B37" s="258">
        <v>145</v>
      </c>
      <c r="C37" s="258">
        <v>66</v>
      </c>
      <c r="D37" s="258">
        <v>79</v>
      </c>
      <c r="E37" s="71"/>
      <c r="F37" s="203">
        <v>22</v>
      </c>
      <c r="G37" s="203">
        <v>11</v>
      </c>
      <c r="H37" s="203">
        <v>11</v>
      </c>
      <c r="I37" s="203"/>
      <c r="J37" s="203">
        <v>39</v>
      </c>
      <c r="K37" s="203">
        <v>15</v>
      </c>
      <c r="L37" s="203">
        <v>24</v>
      </c>
      <c r="M37" s="203"/>
      <c r="N37" s="203">
        <v>13</v>
      </c>
      <c r="O37" s="203">
        <v>6</v>
      </c>
      <c r="P37" s="203">
        <v>7</v>
      </c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</row>
    <row r="38" spans="1:31" ht="11.25" customHeight="1" thickBot="1" x14ac:dyDescent="0.25">
      <c r="A38" s="124" t="s">
        <v>107</v>
      </c>
      <c r="B38" s="260">
        <f>SUM(B34:B37)</f>
        <v>379</v>
      </c>
      <c r="C38" s="260">
        <f t="shared" ref="C38" si="7">SUM(C34:C37)</f>
        <v>203</v>
      </c>
      <c r="D38" s="260">
        <f t="shared" ref="D38" si="8">SUM(D34:D37)</f>
        <v>176</v>
      </c>
      <c r="E38" s="124"/>
      <c r="F38" s="205">
        <f>SUM(F34:F37)</f>
        <v>92</v>
      </c>
      <c r="G38" s="205">
        <f>SUM(G34:G37)</f>
        <v>53</v>
      </c>
      <c r="H38" s="205">
        <f>SUM(H34:H37)</f>
        <v>39</v>
      </c>
      <c r="I38" s="205"/>
      <c r="J38" s="205">
        <f>SUM(J34:J37)</f>
        <v>114</v>
      </c>
      <c r="K38" s="205">
        <f>SUM(K34:K37)</f>
        <v>48</v>
      </c>
      <c r="L38" s="205">
        <f>SUM(L34:L37)</f>
        <v>66</v>
      </c>
      <c r="M38" s="205"/>
      <c r="N38" s="205">
        <v>66</v>
      </c>
      <c r="O38" s="205">
        <v>39</v>
      </c>
      <c r="P38" s="205">
        <f>SUM(P34:P37)</f>
        <v>27</v>
      </c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</row>
    <row r="39" spans="1:31" ht="11.2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</row>
    <row r="85" spans="1:5" ht="11.25" customHeight="1" x14ac:dyDescent="0.2">
      <c r="A85" s="264"/>
      <c r="B85" s="264"/>
      <c r="C85" s="264"/>
      <c r="D85" s="264"/>
      <c r="E85" s="264"/>
    </row>
  </sheetData>
  <mergeCells count="4">
    <mergeCell ref="F3:H3"/>
    <mergeCell ref="J3:L3"/>
    <mergeCell ref="N3:P3"/>
    <mergeCell ref="B3:D3"/>
  </mergeCells>
  <phoneticPr fontId="5" type="noConversion"/>
  <pageMargins left="0.78740157499999996" right="0.78740157499999996" top="0.984251969" bottom="0.984251969" header="0.5" footer="0.5"/>
  <pageSetup paperSize="9" scale="83" orientation="landscape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R41"/>
  <sheetViews>
    <sheetView showGridLines="0" zoomScale="115" zoomScaleNormal="115" workbookViewId="0">
      <selection activeCell="A30" sqref="A30"/>
    </sheetView>
  </sheetViews>
  <sheetFormatPr baseColWidth="10" defaultColWidth="8.88671875" defaultRowHeight="11.25" customHeight="1" x14ac:dyDescent="0.2"/>
  <cols>
    <col min="1" max="1" width="47.44140625" style="276" customWidth="1"/>
    <col min="2" max="2" width="11.109375" style="276" customWidth="1"/>
    <col min="3" max="3" width="12" style="276" customWidth="1"/>
    <col min="4" max="4" width="12.44140625" style="276" customWidth="1"/>
    <col min="5" max="5" width="10.5546875" style="276" customWidth="1"/>
    <col min="6" max="6" width="2.5546875" style="276" hidden="1" customWidth="1"/>
    <col min="7" max="8" width="10.5546875" style="276" hidden="1" customWidth="1"/>
    <col min="9" max="9" width="13" style="276" hidden="1" customWidth="1"/>
    <col min="10" max="10" width="14.109375" style="276" hidden="1" customWidth="1"/>
    <col min="11" max="20" width="10.5546875" style="276" customWidth="1"/>
    <col min="21" max="16384" width="8.88671875" style="276"/>
  </cols>
  <sheetData>
    <row r="1" spans="1:44" s="268" customFormat="1" ht="12" customHeight="1" x14ac:dyDescent="0.25">
      <c r="A1" s="265" t="str">
        <f>Tabelloversikt!A17</f>
        <v>Tabell 12 Årsverk utført ved instituttet og ved annen institusjon, bistillinger og arbeidsplass 2023</v>
      </c>
      <c r="B1" s="266"/>
      <c r="C1" s="267"/>
      <c r="D1" s="267"/>
      <c r="E1" s="267"/>
      <c r="F1" s="267"/>
      <c r="G1" s="267"/>
      <c r="H1" s="267"/>
      <c r="I1" s="267"/>
      <c r="J1" s="267"/>
    </row>
    <row r="2" spans="1:44" s="270" customFormat="1" ht="12" customHeight="1" x14ac:dyDescent="0.2">
      <c r="A2" s="269"/>
    </row>
    <row r="3" spans="1:44" s="269" customFormat="1" ht="24" customHeight="1" x14ac:dyDescent="0.2">
      <c r="A3" s="7"/>
      <c r="B3" s="468" t="s">
        <v>153</v>
      </c>
      <c r="C3" s="468"/>
      <c r="D3" s="468"/>
      <c r="E3" s="468"/>
      <c r="F3" s="8"/>
      <c r="G3" s="468" t="s">
        <v>154</v>
      </c>
      <c r="H3" s="468"/>
      <c r="I3" s="468"/>
      <c r="J3" s="468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</row>
    <row r="4" spans="1:44" s="270" customFormat="1" ht="21" thickBot="1" x14ac:dyDescent="0.25">
      <c r="A4" s="272" t="e">
        <f>#REF!</f>
        <v>#REF!</v>
      </c>
      <c r="B4" s="64" t="s">
        <v>8</v>
      </c>
      <c r="C4" s="64" t="s">
        <v>22</v>
      </c>
      <c r="D4" s="64" t="s">
        <v>123</v>
      </c>
      <c r="E4" s="64" t="s">
        <v>30</v>
      </c>
      <c r="F4" s="64"/>
      <c r="G4" s="64" t="s">
        <v>8</v>
      </c>
      <c r="H4" s="64" t="s">
        <v>22</v>
      </c>
      <c r="I4" s="64" t="s">
        <v>123</v>
      </c>
      <c r="J4" s="64" t="s">
        <v>30</v>
      </c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</row>
    <row r="5" spans="1:44" ht="11.25" customHeight="1" x14ac:dyDescent="0.2">
      <c r="A5" s="67"/>
      <c r="B5" s="274"/>
      <c r="C5" s="274"/>
      <c r="D5" s="274"/>
      <c r="E5" s="274"/>
      <c r="F5" s="274"/>
      <c r="G5" s="274"/>
      <c r="H5" s="274"/>
      <c r="I5" s="274"/>
      <c r="J5" s="274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</row>
    <row r="6" spans="1:44" ht="11.25" customHeight="1" x14ac:dyDescent="0.2">
      <c r="A6" s="71" t="s">
        <v>5</v>
      </c>
      <c r="B6" s="277">
        <v>1.1000000000000001</v>
      </c>
      <c r="C6" s="277">
        <v>16.190000000000001</v>
      </c>
      <c r="D6" s="277">
        <v>1.9500000000000002</v>
      </c>
      <c r="E6" s="278">
        <v>19.240000000000002</v>
      </c>
      <c r="F6" s="278"/>
      <c r="G6" s="278">
        <v>2.1</v>
      </c>
      <c r="H6" s="278">
        <v>0</v>
      </c>
      <c r="I6" s="278">
        <v>0</v>
      </c>
      <c r="J6" s="278">
        <v>2.1</v>
      </c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</row>
    <row r="7" spans="1:44" ht="11.25" customHeight="1" x14ac:dyDescent="0.2">
      <c r="A7" s="71" t="s">
        <v>108</v>
      </c>
      <c r="B7" s="277">
        <v>0.19</v>
      </c>
      <c r="C7" s="277">
        <v>6.870000000000001</v>
      </c>
      <c r="D7" s="277">
        <v>1.96</v>
      </c>
      <c r="E7" s="278">
        <v>9.0200000000000014</v>
      </c>
      <c r="F7" s="278"/>
      <c r="G7" s="278">
        <v>0</v>
      </c>
      <c r="H7" s="278">
        <v>0</v>
      </c>
      <c r="I7" s="278">
        <v>0</v>
      </c>
      <c r="J7" s="278">
        <v>0</v>
      </c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</row>
    <row r="8" spans="1:44" ht="11.25" customHeight="1" x14ac:dyDescent="0.2">
      <c r="A8" s="71" t="s">
        <v>4</v>
      </c>
      <c r="B8" s="277">
        <v>0.2</v>
      </c>
      <c r="C8" s="277">
        <v>6.35</v>
      </c>
      <c r="D8" s="277">
        <v>0</v>
      </c>
      <c r="E8" s="278">
        <v>6.55</v>
      </c>
      <c r="F8" s="278"/>
      <c r="G8" s="278">
        <v>0</v>
      </c>
      <c r="H8" s="278">
        <v>0</v>
      </c>
      <c r="I8" s="278">
        <v>0</v>
      </c>
      <c r="J8" s="278">
        <v>0</v>
      </c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</row>
    <row r="9" spans="1:44" ht="11.25" customHeight="1" x14ac:dyDescent="0.2">
      <c r="A9" s="71" t="s">
        <v>6</v>
      </c>
      <c r="B9" s="277">
        <v>1.4499999999999997</v>
      </c>
      <c r="C9" s="277">
        <v>26.91</v>
      </c>
      <c r="D9" s="277">
        <v>0.9</v>
      </c>
      <c r="E9" s="278">
        <v>29.259999999999998</v>
      </c>
      <c r="F9" s="278"/>
      <c r="G9" s="278">
        <v>4.4800000000000004</v>
      </c>
      <c r="H9" s="278">
        <v>0</v>
      </c>
      <c r="I9" s="278">
        <v>0</v>
      </c>
      <c r="J9" s="278">
        <v>4.4800000000000004</v>
      </c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</row>
    <row r="10" spans="1:44" ht="11.25" customHeight="1" x14ac:dyDescent="0.2">
      <c r="A10" s="78" t="s">
        <v>107</v>
      </c>
      <c r="B10" s="80">
        <f>SUM(B6:B9)</f>
        <v>2.9399999999999995</v>
      </c>
      <c r="C10" s="80">
        <f>SUM(C6:C9)</f>
        <v>56.320000000000007</v>
      </c>
      <c r="D10" s="80">
        <f>SUM(D6:D9)</f>
        <v>4.8100000000000005</v>
      </c>
      <c r="E10" s="80">
        <f t="shared" ref="E10:I10" si="0">SUM(E6:E9)</f>
        <v>64.069999999999993</v>
      </c>
      <c r="F10" s="80"/>
      <c r="G10" s="80">
        <f t="shared" si="0"/>
        <v>6.58</v>
      </c>
      <c r="H10" s="80">
        <f t="shared" si="0"/>
        <v>0</v>
      </c>
      <c r="I10" s="80">
        <f t="shared" si="0"/>
        <v>0</v>
      </c>
      <c r="J10" s="80">
        <f>SUM(J6:J9)</f>
        <v>6.58</v>
      </c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</row>
    <row r="11" spans="1:44" ht="11.25" customHeight="1" x14ac:dyDescent="0.2">
      <c r="A11" s="71"/>
      <c r="B11" s="279"/>
      <c r="C11" s="9"/>
      <c r="D11" s="9"/>
      <c r="E11" s="9"/>
      <c r="F11" s="9"/>
      <c r="G11" s="279"/>
      <c r="H11" s="9"/>
      <c r="I11" s="9"/>
      <c r="J11" s="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</row>
    <row r="12" spans="1:44" ht="11.25" customHeight="1" x14ac:dyDescent="0.2">
      <c r="A12" s="71"/>
      <c r="B12" s="279"/>
      <c r="C12" s="9"/>
      <c r="D12" s="9"/>
      <c r="E12" s="9"/>
      <c r="F12" s="9"/>
      <c r="G12" s="279"/>
      <c r="H12" s="9"/>
      <c r="I12" s="9"/>
      <c r="J12" s="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</row>
    <row r="13" spans="1:44" ht="24.75" customHeight="1" x14ac:dyDescent="0.2">
      <c r="A13" s="7"/>
      <c r="B13" s="468" t="s">
        <v>155</v>
      </c>
      <c r="C13" s="468"/>
      <c r="D13" s="468"/>
      <c r="E13" s="468"/>
      <c r="F13" s="8"/>
      <c r="G13" s="468" t="s">
        <v>156</v>
      </c>
      <c r="H13" s="468"/>
      <c r="I13" s="468"/>
      <c r="J13" s="468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</row>
    <row r="14" spans="1:44" ht="21" thickBot="1" x14ac:dyDescent="0.25">
      <c r="A14" s="272" t="e">
        <f>#REF!</f>
        <v>#REF!</v>
      </c>
      <c r="B14" s="64" t="s">
        <v>8</v>
      </c>
      <c r="C14" s="64" t="s">
        <v>22</v>
      </c>
      <c r="D14" s="64" t="s">
        <v>123</v>
      </c>
      <c r="E14" s="64" t="s">
        <v>30</v>
      </c>
      <c r="F14" s="64"/>
      <c r="G14" s="64" t="s">
        <v>8</v>
      </c>
      <c r="H14" s="64" t="s">
        <v>22</v>
      </c>
      <c r="I14" s="64" t="s">
        <v>123</v>
      </c>
      <c r="J14" s="64" t="s">
        <v>30</v>
      </c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</row>
    <row r="15" spans="1:44" s="10" customFormat="1" ht="11.25" customHeight="1" x14ac:dyDescent="0.2">
      <c r="A15" s="67"/>
      <c r="B15" s="274"/>
      <c r="C15" s="274"/>
      <c r="D15" s="274"/>
      <c r="E15" s="274"/>
      <c r="F15" s="274"/>
      <c r="G15" s="274"/>
      <c r="H15" s="274"/>
      <c r="I15" s="274"/>
      <c r="J15" s="27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44" s="10" customFormat="1" ht="11.25" customHeight="1" x14ac:dyDescent="0.2">
      <c r="A16" s="71" t="s">
        <v>5</v>
      </c>
      <c r="B16" s="277">
        <v>1.56</v>
      </c>
      <c r="C16" s="277">
        <v>34.090999999999994</v>
      </c>
      <c r="D16" s="277">
        <v>2.597</v>
      </c>
      <c r="E16" s="278">
        <v>38.247999999999998</v>
      </c>
      <c r="F16" s="278"/>
      <c r="G16" s="278">
        <v>1.2</v>
      </c>
      <c r="H16" s="278">
        <v>0</v>
      </c>
      <c r="I16" s="278">
        <v>0</v>
      </c>
      <c r="J16" s="278">
        <v>1.2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0" customFormat="1" ht="11.25" customHeight="1" x14ac:dyDescent="0.2">
      <c r="A17" s="71" t="s">
        <v>108</v>
      </c>
      <c r="B17" s="277">
        <v>0</v>
      </c>
      <c r="C17" s="277">
        <v>5.52</v>
      </c>
      <c r="D17" s="277">
        <v>0.6</v>
      </c>
      <c r="E17" s="278">
        <v>6.1199999999999992</v>
      </c>
      <c r="F17" s="278"/>
      <c r="G17" s="278">
        <v>0</v>
      </c>
      <c r="H17" s="278">
        <v>0</v>
      </c>
      <c r="I17" s="278">
        <v>0</v>
      </c>
      <c r="J17" s="278"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1.25" customHeight="1" x14ac:dyDescent="0.2">
      <c r="A18" s="71" t="s">
        <v>4</v>
      </c>
      <c r="B18" s="277">
        <v>0.4</v>
      </c>
      <c r="C18" s="277">
        <v>1.19</v>
      </c>
      <c r="D18" s="277">
        <v>0</v>
      </c>
      <c r="E18" s="278">
        <v>1.5899999999999999</v>
      </c>
      <c r="F18" s="278"/>
      <c r="G18" s="278">
        <v>0.25</v>
      </c>
      <c r="H18" s="278">
        <v>0</v>
      </c>
      <c r="I18" s="278">
        <v>0</v>
      </c>
      <c r="J18" s="278">
        <v>0.25</v>
      </c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</row>
    <row r="19" spans="1:25" ht="11.25" customHeight="1" x14ac:dyDescent="0.2">
      <c r="A19" s="71" t="s">
        <v>6</v>
      </c>
      <c r="B19" s="277">
        <v>2.5999999999999996</v>
      </c>
      <c r="C19" s="277">
        <v>9.7999999999999989</v>
      </c>
      <c r="D19" s="277">
        <v>0.3</v>
      </c>
      <c r="E19" s="278">
        <v>12.7</v>
      </c>
      <c r="F19" s="278"/>
      <c r="G19" s="278">
        <v>3.87</v>
      </c>
      <c r="H19" s="278">
        <v>0</v>
      </c>
      <c r="I19" s="278">
        <v>0</v>
      </c>
      <c r="J19" s="278">
        <v>3.87</v>
      </c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</row>
    <row r="20" spans="1:25" ht="11.25" customHeight="1" x14ac:dyDescent="0.2">
      <c r="A20" s="78" t="s">
        <v>107</v>
      </c>
      <c r="B20" s="80">
        <f>SUM(B16:B19)</f>
        <v>4.5599999999999996</v>
      </c>
      <c r="C20" s="80">
        <f t="shared" ref="C20:J20" si="1">SUM(C16:C19)</f>
        <v>50.600999999999985</v>
      </c>
      <c r="D20" s="80">
        <f t="shared" si="1"/>
        <v>3.4969999999999999</v>
      </c>
      <c r="E20" s="80">
        <f t="shared" si="1"/>
        <v>58.658000000000001</v>
      </c>
      <c r="F20" s="80"/>
      <c r="G20" s="80">
        <f t="shared" si="1"/>
        <v>5.32</v>
      </c>
      <c r="H20" s="80">
        <f t="shared" si="1"/>
        <v>0</v>
      </c>
      <c r="I20" s="80">
        <f t="shared" si="1"/>
        <v>0</v>
      </c>
      <c r="J20" s="80">
        <f t="shared" si="1"/>
        <v>5.32</v>
      </c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</row>
    <row r="21" spans="1:25" ht="11.25" customHeight="1" x14ac:dyDescent="0.2"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</row>
    <row r="22" spans="1:25" ht="11.25" customHeight="1" x14ac:dyDescent="0.2"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</row>
    <row r="23" spans="1:25" ht="11.25" customHeight="1" x14ac:dyDescent="0.2">
      <c r="B23" s="217"/>
      <c r="C23" s="217"/>
      <c r="D23" s="217"/>
      <c r="E23" s="217"/>
      <c r="F23" s="279"/>
      <c r="G23" s="217"/>
      <c r="H23" s="217"/>
      <c r="I23" s="217"/>
      <c r="J23" s="217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</row>
    <row r="24" spans="1:25" ht="11.25" customHeight="1" x14ac:dyDescent="0.2"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</row>
    <row r="25" spans="1:25" ht="11.25" customHeight="1" x14ac:dyDescent="0.2"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</row>
    <row r="26" spans="1:25" ht="11.25" customHeight="1" x14ac:dyDescent="0.2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</row>
    <row r="27" spans="1:25" ht="11.25" customHeight="1" x14ac:dyDescent="0.25">
      <c r="A27" s="128"/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</row>
    <row r="28" spans="1:25" ht="11.25" customHeight="1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</row>
    <row r="29" spans="1:25" ht="11.25" customHeight="1" x14ac:dyDescent="0.2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</row>
    <row r="30" spans="1:25" ht="11.25" customHeight="1" x14ac:dyDescent="0.2"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</row>
    <row r="31" spans="1:25" ht="11.25" customHeight="1" x14ac:dyDescent="0.2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</row>
    <row r="32" spans="1:25" ht="11.25" customHeight="1" x14ac:dyDescent="0.2"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</row>
    <row r="33" spans="2:25" ht="11.25" customHeight="1" x14ac:dyDescent="0.2"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</row>
    <row r="34" spans="2:25" ht="11.25" customHeight="1" x14ac:dyDescent="0.2"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</row>
    <row r="35" spans="2:25" ht="11.25" customHeight="1" x14ac:dyDescent="0.2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</row>
    <row r="36" spans="2:25" ht="11.25" customHeight="1" x14ac:dyDescent="0.2"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</row>
    <row r="37" spans="2:25" ht="11.25" customHeight="1" x14ac:dyDescent="0.2"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</row>
    <row r="38" spans="2:25" ht="11.25" customHeight="1" x14ac:dyDescent="0.2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</row>
    <row r="39" spans="2:25" ht="11.25" customHeight="1" x14ac:dyDescent="0.2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</row>
    <row r="40" spans="2:25" ht="11.25" customHeight="1" x14ac:dyDescent="0.2"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</row>
    <row r="41" spans="2:25" ht="11.25" customHeight="1" x14ac:dyDescent="0.2"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</row>
  </sheetData>
  <mergeCells count="4">
    <mergeCell ref="B3:E3"/>
    <mergeCell ref="G3:J3"/>
    <mergeCell ref="B13:E13"/>
    <mergeCell ref="G13:J13"/>
  </mergeCells>
  <printOptions gridLinesSet="0"/>
  <pageMargins left="0.78740157499999996" right="0.78740157499999996" top="0.984251969" bottom="0.984251969" header="0.5" footer="0.5"/>
  <pageSetup paperSize="9" scale="91" orientation="landscape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U16"/>
  <sheetViews>
    <sheetView showGridLines="0" zoomScaleNormal="100" workbookViewId="0"/>
  </sheetViews>
  <sheetFormatPr baseColWidth="10" defaultColWidth="11.44140625" defaultRowHeight="13.2" x14ac:dyDescent="0.25"/>
  <cols>
    <col min="1" max="1" width="38.44140625" style="12" customWidth="1"/>
    <col min="2" max="2" width="6.5546875" style="12" customWidth="1"/>
    <col min="3" max="3" width="4.88671875" style="12" bestFit="1" customWidth="1"/>
    <col min="4" max="4" width="6.109375" style="12" bestFit="1" customWidth="1"/>
    <col min="5" max="5" width="7.88671875" style="12" customWidth="1"/>
    <col min="6" max="6" width="2.5546875" style="12" customWidth="1"/>
    <col min="7" max="7" width="4.88671875" style="12" bestFit="1" customWidth="1"/>
    <col min="8" max="8" width="6.109375" style="12" bestFit="1" customWidth="1"/>
    <col min="9" max="9" width="10.44140625" style="12" customWidth="1"/>
    <col min="10" max="10" width="1.88671875" style="12" customWidth="1"/>
    <col min="11" max="11" width="4.88671875" style="12" bestFit="1" customWidth="1"/>
    <col min="12" max="12" width="6.109375" style="12" bestFit="1" customWidth="1"/>
    <col min="13" max="13" width="11" style="12" customWidth="1"/>
    <col min="14" max="14" width="2.5546875" style="12" customWidth="1"/>
    <col min="15" max="15" width="7.44140625" style="12" customWidth="1"/>
    <col min="16" max="16" width="6.109375" style="12" bestFit="1" customWidth="1"/>
    <col min="17" max="17" width="9.44140625" style="12" customWidth="1"/>
    <col min="18" max="18" width="3.109375" style="12" customWidth="1"/>
    <col min="19" max="19" width="10.109375" style="12" customWidth="1"/>
    <col min="20" max="20" width="12.44140625" style="12" customWidth="1"/>
    <col min="21" max="21" width="13.5546875" style="12" customWidth="1"/>
    <col min="22" max="16384" width="11.44140625" style="12"/>
  </cols>
  <sheetData>
    <row r="1" spans="1:21" x14ac:dyDescent="0.25">
      <c r="A1" s="17" t="str">
        <f>Tabelloversikt!A18</f>
        <v>Tabell 13 Likestilling - Instituttets styre, instituttledelse og forskningsledelse i 2023</v>
      </c>
    </row>
    <row r="3" spans="1:21" s="17" customFormat="1" ht="39.75" customHeight="1" x14ac:dyDescent="0.25">
      <c r="A3" s="7"/>
      <c r="B3" s="59"/>
      <c r="C3" s="476" t="s">
        <v>185</v>
      </c>
      <c r="D3" s="476"/>
      <c r="E3" s="476"/>
      <c r="F3" s="280"/>
      <c r="G3" s="476" t="s">
        <v>144</v>
      </c>
      <c r="H3" s="476"/>
      <c r="I3" s="476"/>
      <c r="J3" s="59"/>
      <c r="K3" s="476" t="s">
        <v>158</v>
      </c>
      <c r="L3" s="476"/>
      <c r="M3" s="476"/>
      <c r="N3" s="280"/>
      <c r="O3" s="476" t="s">
        <v>145</v>
      </c>
      <c r="P3" s="476"/>
      <c r="Q3" s="476"/>
      <c r="R3" s="280"/>
      <c r="S3" s="281" t="s">
        <v>146</v>
      </c>
      <c r="T3" s="7" t="s">
        <v>147</v>
      </c>
      <c r="U3" s="7" t="s">
        <v>148</v>
      </c>
    </row>
    <row r="4" spans="1:21" ht="21.75" customHeight="1" x14ac:dyDescent="0.25">
      <c r="A4" s="162"/>
      <c r="B4" s="162"/>
      <c r="C4" s="185" t="s">
        <v>17</v>
      </c>
      <c r="D4" s="185" t="s">
        <v>16</v>
      </c>
      <c r="E4" s="185" t="s">
        <v>149</v>
      </c>
      <c r="F4" s="185"/>
      <c r="G4" s="185" t="s">
        <v>17</v>
      </c>
      <c r="H4" s="185" t="s">
        <v>16</v>
      </c>
      <c r="I4" s="185" t="s">
        <v>149</v>
      </c>
      <c r="J4" s="185"/>
      <c r="K4" s="185" t="s">
        <v>17</v>
      </c>
      <c r="L4" s="185" t="s">
        <v>16</v>
      </c>
      <c r="M4" s="185" t="s">
        <v>149</v>
      </c>
      <c r="N4" s="185"/>
      <c r="O4" s="185" t="s">
        <v>17</v>
      </c>
      <c r="P4" s="185" t="s">
        <v>16</v>
      </c>
      <c r="Q4" s="185" t="s">
        <v>149</v>
      </c>
      <c r="R4" s="185"/>
      <c r="S4" s="282" t="s">
        <v>3</v>
      </c>
      <c r="T4" s="163" t="s">
        <v>3</v>
      </c>
      <c r="U4" s="163" t="s">
        <v>3</v>
      </c>
    </row>
    <row r="5" spans="1:21" x14ac:dyDescent="0.25">
      <c r="A5" s="71" t="s">
        <v>5</v>
      </c>
      <c r="B5" s="10"/>
      <c r="C5" s="10">
        <v>7</v>
      </c>
      <c r="D5" s="10">
        <v>8</v>
      </c>
      <c r="E5" s="418">
        <v>46.666666666666664</v>
      </c>
      <c r="F5" s="10"/>
      <c r="G5" s="283">
        <v>57</v>
      </c>
      <c r="H5" s="283">
        <v>67</v>
      </c>
      <c r="I5" s="284">
        <v>54.032258064516128</v>
      </c>
      <c r="J5" s="284"/>
      <c r="K5" s="283">
        <v>48</v>
      </c>
      <c r="L5" s="283">
        <v>49</v>
      </c>
      <c r="M5" s="284">
        <v>50.515463917525771</v>
      </c>
      <c r="N5" s="284"/>
      <c r="O5" s="283">
        <v>32</v>
      </c>
      <c r="P5" s="283">
        <v>33</v>
      </c>
      <c r="Q5" s="284">
        <v>50.769230769230766</v>
      </c>
      <c r="R5" s="285"/>
      <c r="S5" s="286">
        <v>56.581977530185078</v>
      </c>
      <c r="T5" s="285">
        <v>53.454469660744728</v>
      </c>
      <c r="U5" s="285">
        <v>54.812398042414358</v>
      </c>
    </row>
    <row r="6" spans="1:21" x14ac:dyDescent="0.25">
      <c r="A6" s="71" t="s">
        <v>108</v>
      </c>
      <c r="B6" s="10"/>
      <c r="C6" s="10">
        <v>5</v>
      </c>
      <c r="D6" s="10">
        <v>3</v>
      </c>
      <c r="E6" s="419">
        <v>50</v>
      </c>
      <c r="F6" s="10"/>
      <c r="G6" s="283">
        <v>33</v>
      </c>
      <c r="H6" s="283">
        <v>36</v>
      </c>
      <c r="I6" s="284">
        <v>52.173913043478258</v>
      </c>
      <c r="J6" s="284"/>
      <c r="K6" s="283">
        <v>31</v>
      </c>
      <c r="L6" s="283">
        <v>44</v>
      </c>
      <c r="M6" s="284">
        <v>58.666666666666664</v>
      </c>
      <c r="N6" s="284"/>
      <c r="O6" s="283">
        <v>52</v>
      </c>
      <c r="P6" s="283">
        <v>51</v>
      </c>
      <c r="Q6" s="284">
        <v>49.514563106796118</v>
      </c>
      <c r="R6" s="285"/>
      <c r="S6" s="287">
        <v>50.742655809794044</v>
      </c>
      <c r="T6" s="285">
        <v>46.132306961649583</v>
      </c>
      <c r="U6" s="285">
        <v>46.438356164383563</v>
      </c>
    </row>
    <row r="7" spans="1:21" x14ac:dyDescent="0.25">
      <c r="A7" s="71" t="s">
        <v>4</v>
      </c>
      <c r="B7" s="10"/>
      <c r="C7" s="10">
        <v>2</v>
      </c>
      <c r="D7" s="10">
        <v>2</v>
      </c>
      <c r="E7" s="419">
        <v>25</v>
      </c>
      <c r="F7" s="10"/>
      <c r="G7" s="283">
        <v>22</v>
      </c>
      <c r="H7" s="283">
        <v>19</v>
      </c>
      <c r="I7" s="284">
        <v>46.341463414634148</v>
      </c>
      <c r="J7" s="284"/>
      <c r="K7" s="283">
        <v>18</v>
      </c>
      <c r="L7" s="283">
        <v>21</v>
      </c>
      <c r="M7" s="284">
        <v>53.846153846153847</v>
      </c>
      <c r="N7" s="284"/>
      <c r="O7" s="283">
        <v>34</v>
      </c>
      <c r="P7" s="283">
        <v>43</v>
      </c>
      <c r="Q7" s="284">
        <v>55.844155844155843</v>
      </c>
      <c r="R7" s="285"/>
      <c r="S7" s="287">
        <v>53.899890496985364</v>
      </c>
      <c r="T7" s="285">
        <v>51.142677682755952</v>
      </c>
      <c r="U7" s="285">
        <v>50.962962962962962</v>
      </c>
    </row>
    <row r="8" spans="1:21" x14ac:dyDescent="0.25">
      <c r="A8" s="71" t="s">
        <v>6</v>
      </c>
      <c r="B8" s="10"/>
      <c r="C8" s="10">
        <v>7</v>
      </c>
      <c r="D8" s="10">
        <v>4</v>
      </c>
      <c r="E8" s="419">
        <v>27.272727272727273</v>
      </c>
      <c r="F8" s="10"/>
      <c r="G8" s="283">
        <v>50</v>
      </c>
      <c r="H8" s="283">
        <v>42</v>
      </c>
      <c r="I8" s="284">
        <v>45.652173913043477</v>
      </c>
      <c r="J8" s="284"/>
      <c r="K8" s="283">
        <v>65</v>
      </c>
      <c r="L8" s="283">
        <v>43</v>
      </c>
      <c r="M8" s="284">
        <v>39.814814814814817</v>
      </c>
      <c r="N8" s="284"/>
      <c r="O8" s="283">
        <v>168</v>
      </c>
      <c r="P8" s="283">
        <v>87</v>
      </c>
      <c r="Q8" s="284">
        <v>34.117647058823529</v>
      </c>
      <c r="R8" s="285"/>
      <c r="S8" s="288">
        <v>34.416624436144318</v>
      </c>
      <c r="T8" s="285">
        <v>30.750511359485721</v>
      </c>
      <c r="U8" s="285">
        <v>28.4992784992785</v>
      </c>
    </row>
    <row r="9" spans="1:21" x14ac:dyDescent="0.25">
      <c r="A9" s="78" t="s">
        <v>107</v>
      </c>
      <c r="B9" s="11"/>
      <c r="C9" s="11">
        <f>SUM(C5:C8)</f>
        <v>21</v>
      </c>
      <c r="D9" s="11">
        <f>SUM(D5:D8)</f>
        <v>17</v>
      </c>
      <c r="E9" s="420">
        <f t="shared" ref="E9" si="0">100*D9/(C9+D9)</f>
        <v>44.736842105263158</v>
      </c>
      <c r="F9" s="97"/>
      <c r="G9" s="289">
        <f>SUM(G5:G8)-G11-G12</f>
        <v>154</v>
      </c>
      <c r="H9" s="289">
        <f>SUM(H5:H8)-H11-H12</f>
        <v>150</v>
      </c>
      <c r="I9" s="290">
        <f t="shared" ref="I9" si="1">100*H9/(G9+H9)</f>
        <v>49.342105263157897</v>
      </c>
      <c r="J9" s="97"/>
      <c r="K9" s="289">
        <f>SUM(K5:K8)-K11-K12</f>
        <v>150</v>
      </c>
      <c r="L9" s="289">
        <f>SUM(L5:L8)-L11-L12</f>
        <v>149</v>
      </c>
      <c r="M9" s="97">
        <f t="shared" ref="M9" si="2">100*L9/(K9+L9)</f>
        <v>49.832775919732441</v>
      </c>
      <c r="N9" s="97"/>
      <c r="O9" s="11">
        <f>SUM(O5:O8)</f>
        <v>286</v>
      </c>
      <c r="P9" s="11">
        <f>SUM(P5:P8)</f>
        <v>214</v>
      </c>
      <c r="Q9" s="97">
        <f t="shared" ref="Q9" si="3">100*P9/(O9+P9)</f>
        <v>42.8</v>
      </c>
      <c r="R9" s="144"/>
      <c r="S9" s="291">
        <f>'Tabell 9'!E38</f>
        <v>45.085569394675254</v>
      </c>
      <c r="T9" s="144">
        <f>'Tabell 9'!J38</f>
        <v>41.266944787910198</v>
      </c>
      <c r="U9" s="144">
        <f>100*'Tabell 10'!C38/'Tabell 10'!B38</f>
        <v>41.53936545240893</v>
      </c>
    </row>
    <row r="10" spans="1:21" x14ac:dyDescent="0.25"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s="465" customFormat="1" x14ac:dyDescent="0.25">
      <c r="A11" s="465" t="s">
        <v>213</v>
      </c>
      <c r="G11" s="465">
        <v>4</v>
      </c>
      <c r="H11" s="465">
        <v>7</v>
      </c>
      <c r="K11" s="465">
        <v>6</v>
      </c>
      <c r="L11" s="465">
        <v>4</v>
      </c>
    </row>
    <row r="12" spans="1:21" s="465" customFormat="1" x14ac:dyDescent="0.25">
      <c r="A12" s="465" t="s">
        <v>214</v>
      </c>
      <c r="G12" s="465">
        <v>4</v>
      </c>
      <c r="H12" s="465">
        <v>7</v>
      </c>
      <c r="K12" s="465">
        <v>6</v>
      </c>
      <c r="L12" s="465">
        <v>4</v>
      </c>
    </row>
    <row r="13" spans="1:21" x14ac:dyDescent="0.25">
      <c r="A13" s="399"/>
      <c r="B13" s="399"/>
      <c r="C13" s="399"/>
      <c r="D13" s="399"/>
      <c r="E13" s="399"/>
      <c r="F13" s="399"/>
      <c r="G13" s="399"/>
      <c r="H13" s="399"/>
      <c r="I13" s="399"/>
      <c r="J13" s="399"/>
      <c r="K13" s="399"/>
      <c r="L13" s="399"/>
    </row>
    <row r="14" spans="1:21" x14ac:dyDescent="0.25">
      <c r="A14" s="145" t="s">
        <v>240</v>
      </c>
    </row>
    <row r="15" spans="1:21" x14ac:dyDescent="0.25">
      <c r="A15" s="145" t="s">
        <v>232</v>
      </c>
    </row>
    <row r="16" spans="1:21" x14ac:dyDescent="0.25">
      <c r="A16" s="145"/>
    </row>
  </sheetData>
  <mergeCells count="4">
    <mergeCell ref="G3:I3"/>
    <mergeCell ref="K3:M3"/>
    <mergeCell ref="O3:Q3"/>
    <mergeCell ref="C3:E3"/>
  </mergeCells>
  <pageMargins left="0.7" right="0.7" top="0.75" bottom="0.75" header="0.3" footer="0.3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H42"/>
  <sheetViews>
    <sheetView showGridLines="0" zoomScale="115" zoomScaleNormal="115" workbookViewId="0">
      <selection activeCell="A43" sqref="A43"/>
    </sheetView>
  </sheetViews>
  <sheetFormatPr baseColWidth="10" defaultColWidth="11.44140625" defaultRowHeight="11.25" customHeight="1" x14ac:dyDescent="0.25"/>
  <cols>
    <col min="1" max="1" width="40.5546875" style="12" customWidth="1"/>
    <col min="2" max="2" width="9" style="12" customWidth="1"/>
    <col min="3" max="3" width="8" style="12" customWidth="1"/>
    <col min="4" max="4" width="9.5546875" style="12" customWidth="1"/>
    <col min="5" max="5" width="7.44140625" style="12" customWidth="1"/>
    <col min="6" max="8" width="8.88671875" style="12" customWidth="1"/>
    <col min="9" max="11" width="10.5546875" style="12" customWidth="1"/>
    <col min="12" max="16384" width="11.44140625" style="12"/>
  </cols>
  <sheetData>
    <row r="1" spans="1:34" s="17" customFormat="1" ht="12" customHeight="1" x14ac:dyDescent="0.25">
      <c r="A1" s="292" t="str">
        <f>Tabelloversikt!A19</f>
        <v>Tabell 14 Vitenskapelig publisering etter type og nivå. 2019-2023. Antall publikasjoner</v>
      </c>
      <c r="D1" s="293"/>
      <c r="E1" s="293"/>
      <c r="F1" s="294"/>
      <c r="G1" s="294"/>
    </row>
    <row r="2" spans="1:34" s="298" customFormat="1" ht="12" customHeight="1" x14ac:dyDescent="0.25">
      <c r="A2" s="295"/>
      <c r="B2" s="5"/>
      <c r="C2" s="5"/>
      <c r="D2" s="296"/>
      <c r="E2" s="296"/>
      <c r="F2" s="297"/>
      <c r="G2" s="297"/>
      <c r="H2" s="135"/>
      <c r="I2" s="135"/>
      <c r="J2" s="135"/>
      <c r="K2" s="135"/>
    </row>
    <row r="3" spans="1:34" s="5" customFormat="1" ht="11.25" customHeight="1" x14ac:dyDescent="0.2">
      <c r="A3" s="7"/>
      <c r="B3" s="468" t="s">
        <v>96</v>
      </c>
      <c r="C3" s="468"/>
      <c r="D3" s="468"/>
      <c r="E3" s="468"/>
      <c r="F3" s="468"/>
      <c r="G3" s="468"/>
      <c r="H3" s="46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135" customFormat="1" ht="24.75" customHeight="1" thickBot="1" x14ac:dyDescent="0.25">
      <c r="A4" s="6"/>
      <c r="B4" s="477" t="s">
        <v>100</v>
      </c>
      <c r="C4" s="477"/>
      <c r="D4" s="477" t="s">
        <v>101</v>
      </c>
      <c r="E4" s="477"/>
      <c r="F4" s="477" t="s">
        <v>102</v>
      </c>
      <c r="G4" s="477"/>
      <c r="H4" s="66" t="s">
        <v>30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1.25" customHeight="1" x14ac:dyDescent="0.25">
      <c r="A5" s="67">
        <f>A12-1</f>
        <v>2019</v>
      </c>
      <c r="B5" s="70" t="s">
        <v>190</v>
      </c>
      <c r="C5" s="70" t="s">
        <v>191</v>
      </c>
      <c r="D5" s="70" t="s">
        <v>190</v>
      </c>
      <c r="E5" s="70" t="s">
        <v>191</v>
      </c>
      <c r="F5" s="70" t="s">
        <v>190</v>
      </c>
      <c r="G5" s="70" t="s">
        <v>191</v>
      </c>
      <c r="H5" s="262"/>
      <c r="I5" s="30"/>
      <c r="J5" s="30"/>
      <c r="K5" s="30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</row>
    <row r="6" spans="1:34" ht="11.25" customHeight="1" x14ac:dyDescent="0.25">
      <c r="A6" s="71" t="s">
        <v>5</v>
      </c>
      <c r="B6" s="456">
        <v>544</v>
      </c>
      <c r="C6" s="456">
        <v>147</v>
      </c>
      <c r="D6" s="456">
        <v>157</v>
      </c>
      <c r="E6" s="456">
        <v>125</v>
      </c>
      <c r="F6" s="456">
        <v>9</v>
      </c>
      <c r="G6" s="456">
        <v>11</v>
      </c>
      <c r="H6" s="456">
        <v>993</v>
      </c>
      <c r="I6" s="9"/>
      <c r="J6" s="9"/>
      <c r="K6" s="9"/>
      <c r="L6" s="14"/>
      <c r="M6" s="14"/>
      <c r="N6" s="14"/>
      <c r="O6" s="14"/>
    </row>
    <row r="7" spans="1:34" ht="11.25" customHeight="1" x14ac:dyDescent="0.25">
      <c r="A7" s="71" t="s">
        <v>108</v>
      </c>
      <c r="B7" s="456">
        <v>617</v>
      </c>
      <c r="C7" s="456">
        <v>270</v>
      </c>
      <c r="D7" s="456">
        <v>27</v>
      </c>
      <c r="E7" s="456">
        <v>27</v>
      </c>
      <c r="F7" s="456">
        <v>1</v>
      </c>
      <c r="G7" s="456">
        <v>0</v>
      </c>
      <c r="H7" s="456">
        <v>942</v>
      </c>
      <c r="I7" s="9"/>
      <c r="J7" s="9"/>
      <c r="K7" s="9"/>
      <c r="L7" s="14"/>
      <c r="M7" s="14"/>
      <c r="N7" s="14"/>
      <c r="O7" s="14"/>
    </row>
    <row r="8" spans="1:34" ht="11.25" customHeight="1" x14ac:dyDescent="0.25">
      <c r="A8" s="71" t="s">
        <v>4</v>
      </c>
      <c r="B8" s="456">
        <v>531</v>
      </c>
      <c r="C8" s="456">
        <v>96</v>
      </c>
      <c r="D8" s="456">
        <v>19</v>
      </c>
      <c r="E8" s="456">
        <v>6</v>
      </c>
      <c r="F8" s="456">
        <v>0</v>
      </c>
      <c r="G8" s="456">
        <v>0</v>
      </c>
      <c r="H8" s="456">
        <v>652</v>
      </c>
      <c r="I8" s="9"/>
      <c r="J8" s="9"/>
      <c r="K8" s="9"/>
      <c r="L8" s="14"/>
      <c r="M8" s="14"/>
      <c r="N8" s="14"/>
      <c r="O8" s="14"/>
    </row>
    <row r="9" spans="1:34" ht="11.25" customHeight="1" x14ac:dyDescent="0.25">
      <c r="A9" s="71" t="s">
        <v>6</v>
      </c>
      <c r="B9" s="456">
        <v>947</v>
      </c>
      <c r="C9" s="456">
        <v>276</v>
      </c>
      <c r="D9" s="456">
        <v>218</v>
      </c>
      <c r="E9" s="456">
        <v>1</v>
      </c>
      <c r="F9" s="456">
        <v>0</v>
      </c>
      <c r="G9" s="456">
        <v>2</v>
      </c>
      <c r="H9" s="456">
        <v>1444</v>
      </c>
      <c r="I9" s="9"/>
      <c r="J9" s="9"/>
      <c r="K9" s="9"/>
      <c r="L9" s="14"/>
      <c r="M9" s="14"/>
      <c r="N9" s="14"/>
      <c r="O9" s="14"/>
    </row>
    <row r="10" spans="1:34" ht="11.25" customHeight="1" thickBot="1" x14ac:dyDescent="0.3">
      <c r="A10" s="124" t="s">
        <v>107</v>
      </c>
      <c r="B10" s="457">
        <f>SUM(B6:B9)</f>
        <v>2639</v>
      </c>
      <c r="C10" s="457">
        <f t="shared" ref="C10:H10" si="0">SUM(C6:C9)</f>
        <v>789</v>
      </c>
      <c r="D10" s="457">
        <f t="shared" si="0"/>
        <v>421</v>
      </c>
      <c r="E10" s="457">
        <f t="shared" si="0"/>
        <v>159</v>
      </c>
      <c r="F10" s="457">
        <f t="shared" si="0"/>
        <v>10</v>
      </c>
      <c r="G10" s="457">
        <f t="shared" si="0"/>
        <v>13</v>
      </c>
      <c r="H10" s="457">
        <f t="shared" si="0"/>
        <v>4031</v>
      </c>
      <c r="I10" s="9"/>
      <c r="J10" s="9"/>
      <c r="K10" s="9"/>
      <c r="L10" s="14"/>
      <c r="M10" s="14"/>
      <c r="N10" s="14"/>
      <c r="O10" s="14"/>
    </row>
    <row r="11" spans="1:34" ht="11.25" customHeight="1" thickBot="1" x14ac:dyDescent="0.3">
      <c r="A11" s="207"/>
      <c r="B11" s="458"/>
      <c r="C11" s="458"/>
      <c r="D11" s="458"/>
      <c r="E11" s="458"/>
      <c r="F11" s="458"/>
      <c r="G11" s="458"/>
      <c r="H11" s="458"/>
      <c r="I11" s="9"/>
      <c r="J11" s="9"/>
      <c r="K11" s="9"/>
      <c r="L11" s="14"/>
      <c r="M11" s="14"/>
      <c r="N11" s="14"/>
      <c r="O11" s="14"/>
    </row>
    <row r="12" spans="1:34" ht="11.25" customHeight="1" x14ac:dyDescent="0.25">
      <c r="A12" s="67">
        <f>A19-1</f>
        <v>2020</v>
      </c>
      <c r="B12" s="459"/>
      <c r="C12" s="459"/>
      <c r="D12" s="459"/>
      <c r="E12" s="459"/>
      <c r="F12" s="459"/>
      <c r="G12" s="459"/>
      <c r="H12" s="459"/>
      <c r="I12" s="9"/>
      <c r="J12" s="9"/>
      <c r="K12" s="9"/>
      <c r="L12" s="14"/>
      <c r="M12" s="14"/>
      <c r="N12" s="14"/>
      <c r="O12" s="14"/>
    </row>
    <row r="13" spans="1:34" ht="11.25" customHeight="1" x14ac:dyDescent="0.25">
      <c r="A13" s="71" t="s">
        <v>5</v>
      </c>
      <c r="B13" s="456">
        <v>561</v>
      </c>
      <c r="C13" s="456">
        <v>171</v>
      </c>
      <c r="D13" s="456">
        <v>134</v>
      </c>
      <c r="E13" s="456">
        <v>63</v>
      </c>
      <c r="F13" s="456">
        <v>7</v>
      </c>
      <c r="G13" s="456">
        <v>10</v>
      </c>
      <c r="H13" s="456">
        <v>946</v>
      </c>
      <c r="I13" s="9"/>
      <c r="J13" s="9"/>
      <c r="K13" s="9"/>
      <c r="L13" s="14"/>
      <c r="M13" s="14"/>
      <c r="N13" s="14"/>
      <c r="O13" s="14"/>
    </row>
    <row r="14" spans="1:34" s="10" customFormat="1" ht="11.25" customHeight="1" x14ac:dyDescent="0.2">
      <c r="A14" s="71" t="s">
        <v>108</v>
      </c>
      <c r="B14" s="456">
        <v>652</v>
      </c>
      <c r="C14" s="456">
        <v>338</v>
      </c>
      <c r="D14" s="456">
        <v>16</v>
      </c>
      <c r="E14" s="456">
        <v>24</v>
      </c>
      <c r="F14" s="456">
        <v>3</v>
      </c>
      <c r="G14" s="456">
        <v>0</v>
      </c>
      <c r="H14" s="456">
        <v>1033</v>
      </c>
      <c r="I14" s="9"/>
      <c r="J14" s="9"/>
      <c r="K14" s="9"/>
      <c r="L14" s="9"/>
      <c r="M14" s="9"/>
      <c r="N14" s="9"/>
      <c r="O14" s="9"/>
    </row>
    <row r="15" spans="1:34" ht="11.25" customHeight="1" x14ac:dyDescent="0.25">
      <c r="A15" s="71" t="s">
        <v>4</v>
      </c>
      <c r="B15" s="456">
        <v>667</v>
      </c>
      <c r="C15" s="456">
        <v>110</v>
      </c>
      <c r="D15" s="456">
        <v>50</v>
      </c>
      <c r="E15" s="456">
        <v>8</v>
      </c>
      <c r="F15" s="456">
        <v>0</v>
      </c>
      <c r="G15" s="456">
        <v>0</v>
      </c>
      <c r="H15" s="456">
        <v>835</v>
      </c>
      <c r="I15" s="9"/>
      <c r="J15" s="9"/>
      <c r="K15" s="9"/>
      <c r="L15" s="14"/>
      <c r="M15" s="14"/>
      <c r="N15" s="14"/>
      <c r="O15" s="14"/>
    </row>
    <row r="16" spans="1:34" ht="11.25" customHeight="1" x14ac:dyDescent="0.25">
      <c r="A16" s="71" t="s">
        <v>6</v>
      </c>
      <c r="B16" s="456">
        <v>1017</v>
      </c>
      <c r="C16" s="456">
        <v>333</v>
      </c>
      <c r="D16" s="456">
        <v>195</v>
      </c>
      <c r="E16" s="456">
        <v>3</v>
      </c>
      <c r="F16" s="456">
        <v>0</v>
      </c>
      <c r="G16" s="456">
        <v>0</v>
      </c>
      <c r="H16" s="456">
        <v>1548</v>
      </c>
      <c r="I16" s="9"/>
      <c r="J16" s="9"/>
      <c r="K16" s="9"/>
      <c r="L16" s="14"/>
      <c r="M16" s="14"/>
      <c r="N16" s="14"/>
      <c r="O16" s="14"/>
    </row>
    <row r="17" spans="1:15" s="10" customFormat="1" ht="11.25" customHeight="1" thickBot="1" x14ac:dyDescent="0.25">
      <c r="A17" s="124" t="s">
        <v>107</v>
      </c>
      <c r="B17" s="457">
        <f>SUM(B13:B16)</f>
        <v>2897</v>
      </c>
      <c r="C17" s="457">
        <f t="shared" ref="C17:H17" si="1">SUM(C13:C16)</f>
        <v>952</v>
      </c>
      <c r="D17" s="457">
        <f t="shared" si="1"/>
        <v>395</v>
      </c>
      <c r="E17" s="457">
        <f t="shared" si="1"/>
        <v>98</v>
      </c>
      <c r="F17" s="457">
        <f t="shared" si="1"/>
        <v>10</v>
      </c>
      <c r="G17" s="457">
        <f t="shared" si="1"/>
        <v>10</v>
      </c>
      <c r="H17" s="457">
        <f t="shared" si="1"/>
        <v>4362</v>
      </c>
      <c r="I17" s="9"/>
      <c r="J17" s="9"/>
      <c r="K17" s="9"/>
      <c r="L17" s="9"/>
      <c r="M17" s="9"/>
      <c r="N17" s="9"/>
      <c r="O17" s="9"/>
    </row>
    <row r="18" spans="1:15" ht="11.25" customHeight="1" thickBot="1" x14ac:dyDescent="0.3">
      <c r="A18" s="10"/>
      <c r="B18" s="460"/>
      <c r="C18" s="460"/>
      <c r="D18" s="460"/>
      <c r="E18" s="460"/>
      <c r="F18" s="460"/>
      <c r="G18" s="460"/>
      <c r="H18" s="460"/>
      <c r="I18" s="9"/>
      <c r="J18" s="9"/>
      <c r="K18" s="9"/>
      <c r="L18" s="14"/>
      <c r="M18" s="14"/>
      <c r="N18" s="14"/>
      <c r="O18" s="14"/>
    </row>
    <row r="19" spans="1:15" ht="11.25" customHeight="1" x14ac:dyDescent="0.25">
      <c r="A19" s="67">
        <f>A26-1</f>
        <v>2021</v>
      </c>
      <c r="B19" s="459"/>
      <c r="C19" s="459"/>
      <c r="D19" s="459"/>
      <c r="E19" s="459"/>
      <c r="F19" s="459"/>
      <c r="G19" s="459"/>
      <c r="H19" s="459"/>
      <c r="I19" s="9"/>
      <c r="J19" s="9"/>
      <c r="K19" s="9"/>
      <c r="L19" s="14"/>
      <c r="M19" s="14"/>
      <c r="N19" s="14"/>
      <c r="O19" s="14"/>
    </row>
    <row r="20" spans="1:15" ht="11.25" customHeight="1" x14ac:dyDescent="0.25">
      <c r="A20" s="71" t="s">
        <v>5</v>
      </c>
      <c r="B20" s="456">
        <v>591</v>
      </c>
      <c r="C20" s="456">
        <v>207</v>
      </c>
      <c r="D20" s="456">
        <v>105</v>
      </c>
      <c r="E20" s="456">
        <v>112</v>
      </c>
      <c r="F20" s="456">
        <v>11</v>
      </c>
      <c r="G20" s="456">
        <v>9</v>
      </c>
      <c r="H20" s="456">
        <v>1035</v>
      </c>
      <c r="I20" s="9"/>
      <c r="J20" s="9"/>
      <c r="K20" s="9"/>
      <c r="L20" s="14"/>
      <c r="M20" s="14"/>
      <c r="N20" s="14"/>
      <c r="O20" s="14"/>
    </row>
    <row r="21" spans="1:15" s="10" customFormat="1" ht="11.25" customHeight="1" x14ac:dyDescent="0.2">
      <c r="A21" s="71" t="s">
        <v>108</v>
      </c>
      <c r="B21" s="456">
        <v>735</v>
      </c>
      <c r="C21" s="456">
        <v>383</v>
      </c>
      <c r="D21" s="456">
        <v>25</v>
      </c>
      <c r="E21" s="456">
        <v>35</v>
      </c>
      <c r="F21" s="456">
        <v>3</v>
      </c>
      <c r="G21" s="456">
        <v>1</v>
      </c>
      <c r="H21" s="456">
        <v>1182</v>
      </c>
      <c r="I21" s="9"/>
      <c r="J21" s="9"/>
      <c r="K21" s="9"/>
      <c r="L21" s="9"/>
      <c r="M21" s="9"/>
      <c r="N21" s="9"/>
      <c r="O21" s="9"/>
    </row>
    <row r="22" spans="1:15" ht="11.25" customHeight="1" x14ac:dyDescent="0.25">
      <c r="A22" s="71" t="s">
        <v>4</v>
      </c>
      <c r="B22" s="456">
        <v>628</v>
      </c>
      <c r="C22" s="456">
        <v>181</v>
      </c>
      <c r="D22" s="456">
        <v>22</v>
      </c>
      <c r="E22" s="456">
        <v>11</v>
      </c>
      <c r="F22" s="456">
        <v>0</v>
      </c>
      <c r="G22" s="456">
        <v>1</v>
      </c>
      <c r="H22" s="456">
        <v>843</v>
      </c>
      <c r="I22" s="9"/>
      <c r="J22" s="9"/>
      <c r="K22" s="9"/>
      <c r="L22" s="14"/>
      <c r="M22" s="14"/>
      <c r="N22" s="14"/>
      <c r="O22" s="14"/>
    </row>
    <row r="23" spans="1:15" ht="11.25" customHeight="1" x14ac:dyDescent="0.25">
      <c r="A23" s="71" t="s">
        <v>6</v>
      </c>
      <c r="B23" s="456">
        <v>1114</v>
      </c>
      <c r="C23" s="456">
        <v>355</v>
      </c>
      <c r="D23" s="456">
        <v>217</v>
      </c>
      <c r="E23" s="456">
        <v>16</v>
      </c>
      <c r="F23" s="456">
        <v>0</v>
      </c>
      <c r="G23" s="456">
        <v>0</v>
      </c>
      <c r="H23" s="456">
        <v>1702</v>
      </c>
      <c r="I23" s="9"/>
      <c r="J23" s="9"/>
      <c r="K23" s="9"/>
      <c r="L23" s="14"/>
      <c r="M23" s="14"/>
      <c r="N23" s="14"/>
      <c r="O23" s="14"/>
    </row>
    <row r="24" spans="1:15" s="10" customFormat="1" ht="11.25" customHeight="1" thickBot="1" x14ac:dyDescent="0.25">
      <c r="A24" s="124" t="s">
        <v>107</v>
      </c>
      <c r="B24" s="457">
        <f>SUM(B20:B23)</f>
        <v>3068</v>
      </c>
      <c r="C24" s="457">
        <f t="shared" ref="C24:H24" si="2">SUM(C20:C23)</f>
        <v>1126</v>
      </c>
      <c r="D24" s="457">
        <f t="shared" si="2"/>
        <v>369</v>
      </c>
      <c r="E24" s="457">
        <f t="shared" si="2"/>
        <v>174</v>
      </c>
      <c r="F24" s="457">
        <f t="shared" si="2"/>
        <v>14</v>
      </c>
      <c r="G24" s="457">
        <f t="shared" si="2"/>
        <v>11</v>
      </c>
      <c r="H24" s="457">
        <f t="shared" si="2"/>
        <v>4762</v>
      </c>
      <c r="I24" s="9"/>
      <c r="J24" s="9"/>
      <c r="K24" s="9"/>
      <c r="L24" s="9"/>
      <c r="M24" s="9"/>
      <c r="N24" s="9"/>
      <c r="O24" s="9"/>
    </row>
    <row r="25" spans="1:15" ht="11.25" customHeight="1" thickBot="1" x14ac:dyDescent="0.3">
      <c r="A25" s="10"/>
      <c r="B25" s="460"/>
      <c r="C25" s="460"/>
      <c r="D25" s="460"/>
      <c r="E25" s="460"/>
      <c r="F25" s="460"/>
      <c r="G25" s="460"/>
      <c r="H25" s="460"/>
      <c r="I25" s="9"/>
      <c r="J25" s="9"/>
      <c r="K25" s="9"/>
      <c r="L25" s="14"/>
      <c r="M25" s="14"/>
      <c r="N25" s="14"/>
      <c r="O25" s="14"/>
    </row>
    <row r="26" spans="1:15" ht="11.25" customHeight="1" x14ac:dyDescent="0.25">
      <c r="A26" s="67">
        <f>A33-1</f>
        <v>2022</v>
      </c>
      <c r="B26" s="459"/>
      <c r="C26" s="459"/>
      <c r="D26" s="459"/>
      <c r="E26" s="459"/>
      <c r="F26" s="459"/>
      <c r="G26" s="459"/>
      <c r="H26" s="459"/>
      <c r="I26" s="9"/>
      <c r="J26" s="9"/>
      <c r="K26" s="9"/>
      <c r="L26" s="14"/>
      <c r="M26" s="14"/>
      <c r="N26" s="14"/>
      <c r="O26" s="14"/>
    </row>
    <row r="27" spans="1:15" ht="11.25" customHeight="1" x14ac:dyDescent="0.25">
      <c r="A27" s="71" t="s">
        <v>5</v>
      </c>
      <c r="B27" s="456">
        <v>561</v>
      </c>
      <c r="C27" s="456">
        <v>206</v>
      </c>
      <c r="D27" s="456">
        <v>131</v>
      </c>
      <c r="E27" s="456">
        <v>94</v>
      </c>
      <c r="F27" s="456">
        <v>11</v>
      </c>
      <c r="G27" s="456">
        <v>8</v>
      </c>
      <c r="H27" s="456">
        <v>1011</v>
      </c>
      <c r="I27" s="9"/>
      <c r="J27" s="9"/>
      <c r="K27" s="9"/>
      <c r="L27" s="14"/>
      <c r="M27" s="14"/>
      <c r="N27" s="14"/>
      <c r="O27" s="14"/>
    </row>
    <row r="28" spans="1:15" s="10" customFormat="1" ht="11.25" customHeight="1" x14ac:dyDescent="0.2">
      <c r="A28" s="71" t="s">
        <v>108</v>
      </c>
      <c r="B28" s="456">
        <v>699</v>
      </c>
      <c r="C28" s="456">
        <v>348</v>
      </c>
      <c r="D28" s="456">
        <v>37</v>
      </c>
      <c r="E28" s="456">
        <v>16</v>
      </c>
      <c r="F28" s="456">
        <v>1</v>
      </c>
      <c r="G28" s="456">
        <v>0</v>
      </c>
      <c r="H28" s="456">
        <v>1101</v>
      </c>
      <c r="I28" s="9"/>
      <c r="J28" s="9"/>
      <c r="K28" s="9"/>
      <c r="L28" s="9"/>
      <c r="M28" s="9"/>
      <c r="N28" s="9"/>
      <c r="O28" s="9"/>
    </row>
    <row r="29" spans="1:15" ht="11.25" customHeight="1" x14ac:dyDescent="0.25">
      <c r="A29" s="71" t="s">
        <v>4</v>
      </c>
      <c r="B29" s="456">
        <v>567</v>
      </c>
      <c r="C29" s="456">
        <v>154</v>
      </c>
      <c r="D29" s="456">
        <v>16</v>
      </c>
      <c r="E29" s="456">
        <v>10</v>
      </c>
      <c r="F29" s="456">
        <v>1</v>
      </c>
      <c r="G29" s="456">
        <v>0</v>
      </c>
      <c r="H29" s="456">
        <v>748</v>
      </c>
      <c r="I29" s="9"/>
      <c r="J29" s="9"/>
      <c r="K29" s="9"/>
      <c r="L29" s="14"/>
      <c r="M29" s="14"/>
      <c r="N29" s="14"/>
      <c r="O29" s="14"/>
    </row>
    <row r="30" spans="1:15" ht="11.25" customHeight="1" x14ac:dyDescent="0.25">
      <c r="A30" s="71" t="s">
        <v>6</v>
      </c>
      <c r="B30" s="456">
        <v>1061</v>
      </c>
      <c r="C30" s="456">
        <v>295</v>
      </c>
      <c r="D30" s="456">
        <v>210</v>
      </c>
      <c r="E30" s="456">
        <v>1</v>
      </c>
      <c r="F30" s="456">
        <v>4</v>
      </c>
      <c r="G30" s="456">
        <v>1</v>
      </c>
      <c r="H30" s="456">
        <v>1572</v>
      </c>
      <c r="I30" s="9"/>
      <c r="J30" s="140"/>
      <c r="K30" s="9"/>
      <c r="L30" s="14"/>
      <c r="M30" s="14"/>
      <c r="N30" s="14"/>
      <c r="O30" s="14"/>
    </row>
    <row r="31" spans="1:15" s="10" customFormat="1" ht="11.25" customHeight="1" thickBot="1" x14ac:dyDescent="0.25">
      <c r="A31" s="124" t="s">
        <v>107</v>
      </c>
      <c r="B31" s="457">
        <f>SUM(B27:B30)</f>
        <v>2888</v>
      </c>
      <c r="C31" s="457">
        <f t="shared" ref="C31:H31" si="3">SUM(C27:C30)</f>
        <v>1003</v>
      </c>
      <c r="D31" s="457">
        <f t="shared" si="3"/>
        <v>394</v>
      </c>
      <c r="E31" s="457">
        <f t="shared" si="3"/>
        <v>121</v>
      </c>
      <c r="F31" s="457">
        <f t="shared" si="3"/>
        <v>17</v>
      </c>
      <c r="G31" s="457">
        <f t="shared" si="3"/>
        <v>9</v>
      </c>
      <c r="H31" s="457">
        <f t="shared" si="3"/>
        <v>4432</v>
      </c>
      <c r="I31" s="9"/>
      <c r="J31" s="9"/>
      <c r="K31" s="9"/>
      <c r="L31" s="9"/>
      <c r="M31" s="9"/>
      <c r="N31" s="9"/>
      <c r="O31" s="9"/>
    </row>
    <row r="32" spans="1:15" ht="11.25" customHeight="1" thickBot="1" x14ac:dyDescent="0.3">
      <c r="B32" s="461"/>
      <c r="C32" s="461"/>
      <c r="D32" s="461"/>
      <c r="E32" s="461"/>
      <c r="F32" s="461"/>
      <c r="G32" s="461"/>
      <c r="H32" s="461"/>
      <c r="I32" s="14"/>
      <c r="J32" s="14"/>
      <c r="K32" s="14"/>
      <c r="L32" s="14"/>
      <c r="M32" s="14"/>
      <c r="N32" s="14"/>
      <c r="O32" s="14"/>
    </row>
    <row r="33" spans="1:15" ht="11.25" customHeight="1" x14ac:dyDescent="0.25">
      <c r="A33" s="67">
        <v>2023</v>
      </c>
      <c r="B33" s="459"/>
      <c r="C33" s="459"/>
      <c r="D33" s="459"/>
      <c r="E33" s="459"/>
      <c r="F33" s="459"/>
      <c r="G33" s="459"/>
      <c r="H33" s="459"/>
      <c r="I33" s="9"/>
      <c r="J33" s="9"/>
      <c r="K33" s="9"/>
      <c r="L33" s="14"/>
      <c r="M33" s="14"/>
      <c r="N33" s="14"/>
      <c r="O33" s="14"/>
    </row>
    <row r="34" spans="1:15" ht="11.25" customHeight="1" x14ac:dyDescent="0.25">
      <c r="A34" s="71" t="s">
        <v>5</v>
      </c>
      <c r="B34" s="456">
        <v>595</v>
      </c>
      <c r="C34" s="456">
        <v>191</v>
      </c>
      <c r="D34" s="456">
        <v>123</v>
      </c>
      <c r="E34" s="456">
        <v>67</v>
      </c>
      <c r="F34" s="456">
        <v>9</v>
      </c>
      <c r="G34" s="456">
        <v>9</v>
      </c>
      <c r="H34" s="456">
        <v>994</v>
      </c>
      <c r="I34" s="9"/>
      <c r="J34" s="9"/>
      <c r="K34" s="9"/>
      <c r="L34" s="14"/>
      <c r="M34" s="14"/>
      <c r="N34" s="14"/>
      <c r="O34" s="14"/>
    </row>
    <row r="35" spans="1:15" s="10" customFormat="1" ht="11.25" customHeight="1" x14ac:dyDescent="0.2">
      <c r="A35" s="71" t="s">
        <v>108</v>
      </c>
      <c r="B35" s="456">
        <v>723</v>
      </c>
      <c r="C35" s="456">
        <v>385</v>
      </c>
      <c r="D35" s="456">
        <v>38</v>
      </c>
      <c r="E35" s="456">
        <v>12</v>
      </c>
      <c r="F35" s="456">
        <v>4</v>
      </c>
      <c r="G35" s="456">
        <v>2</v>
      </c>
      <c r="H35" s="456">
        <v>1164</v>
      </c>
      <c r="I35" s="9"/>
      <c r="J35" s="9"/>
      <c r="K35" s="9"/>
      <c r="L35" s="9"/>
      <c r="M35" s="9"/>
      <c r="N35" s="9"/>
      <c r="O35" s="9"/>
    </row>
    <row r="36" spans="1:15" ht="11.25" customHeight="1" x14ac:dyDescent="0.25">
      <c r="A36" s="71" t="s">
        <v>4</v>
      </c>
      <c r="B36" s="456">
        <v>606</v>
      </c>
      <c r="C36" s="456">
        <v>139</v>
      </c>
      <c r="D36" s="456">
        <v>29</v>
      </c>
      <c r="E36" s="456">
        <v>3</v>
      </c>
      <c r="F36" s="456">
        <v>3</v>
      </c>
      <c r="G36" s="456">
        <v>1</v>
      </c>
      <c r="H36" s="456">
        <v>781</v>
      </c>
      <c r="I36" s="9"/>
      <c r="J36" s="9"/>
      <c r="K36" s="9"/>
      <c r="L36" s="14"/>
      <c r="M36" s="14"/>
      <c r="N36" s="14"/>
      <c r="O36" s="14"/>
    </row>
    <row r="37" spans="1:15" ht="11.25" customHeight="1" x14ac:dyDescent="0.25">
      <c r="A37" s="71" t="s">
        <v>6</v>
      </c>
      <c r="B37" s="456">
        <v>1086</v>
      </c>
      <c r="C37" s="456">
        <v>363</v>
      </c>
      <c r="D37" s="456">
        <v>266</v>
      </c>
      <c r="E37" s="456">
        <v>5</v>
      </c>
      <c r="F37" s="456">
        <v>1</v>
      </c>
      <c r="G37" s="456">
        <v>1</v>
      </c>
      <c r="H37" s="456">
        <v>1722</v>
      </c>
      <c r="I37" s="9"/>
      <c r="J37" s="9"/>
      <c r="K37" s="9"/>
      <c r="L37" s="14"/>
      <c r="M37" s="14"/>
      <c r="N37" s="14"/>
      <c r="O37" s="14"/>
    </row>
    <row r="38" spans="1:15" s="10" customFormat="1" ht="11.25" customHeight="1" thickBot="1" x14ac:dyDescent="0.25">
      <c r="A38" s="300" t="s">
        <v>107</v>
      </c>
      <c r="B38" s="457">
        <f>SUM(B34:B37)</f>
        <v>3010</v>
      </c>
      <c r="C38" s="457">
        <f t="shared" ref="C38:H38" si="4">SUM(C34:C37)</f>
        <v>1078</v>
      </c>
      <c r="D38" s="457">
        <f t="shared" si="4"/>
        <v>456</v>
      </c>
      <c r="E38" s="457">
        <f t="shared" si="4"/>
        <v>87</v>
      </c>
      <c r="F38" s="457">
        <f t="shared" si="4"/>
        <v>17</v>
      </c>
      <c r="G38" s="457">
        <f t="shared" si="4"/>
        <v>13</v>
      </c>
      <c r="H38" s="457">
        <f t="shared" si="4"/>
        <v>4661</v>
      </c>
      <c r="I38" s="9"/>
      <c r="J38" s="9"/>
      <c r="K38" s="9"/>
      <c r="L38" s="9"/>
      <c r="M38" s="9"/>
      <c r="N38" s="9"/>
      <c r="O38" s="9"/>
    </row>
    <row r="39" spans="1:15" ht="11.25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1.25" customHeight="1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1.25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 x14ac:dyDescent="0.25">
      <c r="B42" s="14"/>
      <c r="C42" s="14"/>
      <c r="D42" s="14"/>
      <c r="E42" s="14"/>
      <c r="F42" s="14"/>
      <c r="G42" s="14"/>
      <c r="H42" s="442"/>
      <c r="I42" s="14"/>
      <c r="J42" s="14"/>
      <c r="K42" s="14"/>
      <c r="L42" s="14"/>
      <c r="M42" s="14"/>
      <c r="N42" s="14"/>
      <c r="O42" s="14"/>
    </row>
  </sheetData>
  <mergeCells count="4">
    <mergeCell ref="B3:H3"/>
    <mergeCell ref="B4:C4"/>
    <mergeCell ref="D4:E4"/>
    <mergeCell ref="F4:G4"/>
  </mergeCells>
  <pageMargins left="0.78740157499999996" right="0.78740157499999996" top="0.984251969" bottom="0.984251969" header="0.5" footer="0.5"/>
  <pageSetup paperSize="9"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S33"/>
  <sheetViews>
    <sheetView showGridLines="0" zoomScale="115" zoomScaleNormal="115" workbookViewId="0"/>
  </sheetViews>
  <sheetFormatPr baseColWidth="10" defaultColWidth="11.44140625" defaultRowHeight="11.25" customHeight="1" x14ac:dyDescent="0.25"/>
  <cols>
    <col min="1" max="1" width="40.5546875" style="12" customWidth="1"/>
    <col min="2" max="6" width="6.5546875" style="12" customWidth="1"/>
    <col min="7" max="7" width="3" style="12" customWidth="1"/>
    <col min="8" max="12" width="7.44140625" style="12" customWidth="1"/>
    <col min="13" max="13" width="33.5546875" style="12" customWidth="1"/>
    <col min="14" max="21" width="10.5546875" style="12" customWidth="1"/>
    <col min="22" max="16384" width="11.44140625" style="12"/>
  </cols>
  <sheetData>
    <row r="1" spans="1:45" s="17" customFormat="1" ht="12" customHeight="1" x14ac:dyDescent="0.25">
      <c r="A1" s="17" t="str">
        <f>Tabelloversikt!A20</f>
        <v>Tabell 15 Publikasjonspoeng og poeng per årsverk utført av forskere/faglig personale. 2019-2023</v>
      </c>
      <c r="B1" s="301"/>
      <c r="C1" s="301"/>
      <c r="D1" s="301"/>
      <c r="E1" s="301"/>
      <c r="I1" s="301"/>
      <c r="J1" s="301"/>
      <c r="K1" s="301"/>
    </row>
    <row r="2" spans="1:45" s="57" customFormat="1" ht="12" customHeight="1" x14ac:dyDescent="0.25">
      <c r="A2" s="380"/>
      <c r="B2" s="303"/>
      <c r="C2" s="303"/>
      <c r="D2" s="303"/>
      <c r="E2" s="303"/>
      <c r="F2" s="302"/>
      <c r="G2" s="302"/>
      <c r="H2" s="302"/>
      <c r="I2" s="303"/>
      <c r="J2" s="303"/>
      <c r="K2" s="303"/>
      <c r="L2" s="302"/>
    </row>
    <row r="3" spans="1:45" s="5" customFormat="1" ht="13.2" x14ac:dyDescent="0.25">
      <c r="A3" s="7"/>
      <c r="B3" s="478" t="s">
        <v>207</v>
      </c>
      <c r="C3" s="478"/>
      <c r="D3" s="478"/>
      <c r="E3" s="478"/>
      <c r="F3" s="478"/>
      <c r="G3" s="8"/>
      <c r="H3" s="478" t="s">
        <v>169</v>
      </c>
      <c r="I3" s="478"/>
      <c r="J3" s="478"/>
      <c r="K3" s="478"/>
      <c r="L3" s="478"/>
      <c r="M3" s="4"/>
      <c r="N3" s="4"/>
      <c r="O3" s="4"/>
      <c r="P3" s="30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s="135" customFormat="1" ht="10.199999999999999" x14ac:dyDescent="0.2">
      <c r="A4" s="162"/>
      <c r="B4" s="185">
        <f>C4-1</f>
        <v>2019</v>
      </c>
      <c r="C4" s="185">
        <f>D4-1</f>
        <v>2020</v>
      </c>
      <c r="D4" s="185">
        <f>E4-1</f>
        <v>2021</v>
      </c>
      <c r="E4" s="185">
        <f>F4-1</f>
        <v>2022</v>
      </c>
      <c r="F4" s="185">
        <v>2023</v>
      </c>
      <c r="G4" s="185"/>
      <c r="H4" s="185">
        <f>I4-1</f>
        <v>2019</v>
      </c>
      <c r="I4" s="185">
        <f>J4-1</f>
        <v>2020</v>
      </c>
      <c r="J4" s="185">
        <f>K4-1</f>
        <v>2021</v>
      </c>
      <c r="K4" s="185">
        <f>L4-1</f>
        <v>2022</v>
      </c>
      <c r="L4" s="185">
        <v>2023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1.25" customHeight="1" x14ac:dyDescent="0.25">
      <c r="A5" s="71" t="s">
        <v>5</v>
      </c>
      <c r="B5" s="258">
        <v>1040.15070195</v>
      </c>
      <c r="C5" s="258">
        <v>991.14304564569989</v>
      </c>
      <c r="D5" s="258">
        <v>1089.2003501515001</v>
      </c>
      <c r="E5" s="258">
        <v>1073.5355427910999</v>
      </c>
      <c r="F5" s="258">
        <v>1036.8907112400552</v>
      </c>
      <c r="G5" s="305"/>
      <c r="H5" s="306">
        <v>1.3994815967251493</v>
      </c>
      <c r="I5" s="306">
        <v>1.3134733449055584</v>
      </c>
      <c r="J5" s="306">
        <v>1.3647245995558257</v>
      </c>
      <c r="K5" s="306">
        <v>1.282522600550863</v>
      </c>
      <c r="L5" s="306">
        <v>1.2713070109979712</v>
      </c>
      <c r="M5" s="307"/>
      <c r="N5" s="308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45" ht="11.25" customHeight="1" x14ac:dyDescent="0.25">
      <c r="A6" s="71" t="s">
        <v>108</v>
      </c>
      <c r="B6" s="258">
        <v>865.92008289</v>
      </c>
      <c r="C6" s="258">
        <v>1002.5491429154997</v>
      </c>
      <c r="D6" s="258">
        <v>1120.6616370365</v>
      </c>
      <c r="E6" s="258">
        <v>1010.9014394197001</v>
      </c>
      <c r="F6" s="258">
        <v>1090.1166030946997</v>
      </c>
      <c r="G6" s="305"/>
      <c r="H6" s="306">
        <v>1.0611895769433448</v>
      </c>
      <c r="I6" s="306">
        <v>1.2793817703931751</v>
      </c>
      <c r="J6" s="306">
        <v>1.2311310238022786</v>
      </c>
      <c r="K6" s="306">
        <v>1.0155118632789868</v>
      </c>
      <c r="L6" s="306">
        <v>1.0785971851572207</v>
      </c>
      <c r="M6" s="307"/>
      <c r="N6" s="308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45" ht="11.25" customHeight="1" x14ac:dyDescent="0.25">
      <c r="A7" s="71" t="s">
        <v>4</v>
      </c>
      <c r="B7" s="258">
        <v>529.11553362999996</v>
      </c>
      <c r="C7" s="258">
        <v>674.78196362309984</v>
      </c>
      <c r="D7" s="258">
        <v>781.42358914600004</v>
      </c>
      <c r="E7" s="258">
        <v>639.03885955780004</v>
      </c>
      <c r="F7" s="258">
        <v>657.13483049500041</v>
      </c>
      <c r="G7" s="305"/>
      <c r="H7" s="306">
        <v>0.6461848413345872</v>
      </c>
      <c r="I7" s="306">
        <v>0.8714510326778333</v>
      </c>
      <c r="J7" s="306">
        <v>1.010322182904944</v>
      </c>
      <c r="K7" s="306">
        <v>0.79709478434571102</v>
      </c>
      <c r="L7" s="306">
        <v>0.79375613675291157</v>
      </c>
      <c r="M7" s="307"/>
      <c r="N7" s="30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45" ht="11.25" customHeight="1" x14ac:dyDescent="0.25">
      <c r="A8" s="71" t="s">
        <v>6</v>
      </c>
      <c r="B8" s="258">
        <v>1335.75173505</v>
      </c>
      <c r="C8" s="258">
        <v>1452.3779054435995</v>
      </c>
      <c r="D8" s="258">
        <v>1542.7072939173001</v>
      </c>
      <c r="E8" s="258">
        <v>1392.4299708010994</v>
      </c>
      <c r="F8" s="258">
        <v>1532.5282008890999</v>
      </c>
      <c r="G8" s="305"/>
      <c r="H8" s="306">
        <v>0.6567892647362521</v>
      </c>
      <c r="I8" s="306">
        <v>0.72389420808217919</v>
      </c>
      <c r="J8" s="306">
        <v>0.72320619455607926</v>
      </c>
      <c r="K8" s="306">
        <v>0.64301512872544953</v>
      </c>
      <c r="L8" s="306">
        <v>0.69970788629972047</v>
      </c>
      <c r="M8" s="307"/>
      <c r="N8" s="30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45" s="27" customFormat="1" ht="11.25" customHeight="1" x14ac:dyDescent="0.25">
      <c r="A9" s="309" t="s">
        <v>107</v>
      </c>
      <c r="B9" s="462">
        <f>SUM(B5:B8)</f>
        <v>3770.9380535199998</v>
      </c>
      <c r="C9" s="463">
        <f>SUM(C5:C8)</f>
        <v>4120.8520576278988</v>
      </c>
      <c r="D9" s="463">
        <f>SUM(D5:D8)</f>
        <v>4533.9928702513007</v>
      </c>
      <c r="E9" s="463">
        <f>SUM(E5:E8)</f>
        <v>4115.9058125696993</v>
      </c>
      <c r="F9" s="463">
        <f>SUM(F5:F8)</f>
        <v>4316.6703457188551</v>
      </c>
      <c r="G9" s="378"/>
      <c r="H9" s="379">
        <f>B9/'Tabell 9'!G10</f>
        <v>0.8547352461161154</v>
      </c>
      <c r="I9" s="379">
        <f>C9/'Tabell 9'!G17</f>
        <v>0.95414897382534825</v>
      </c>
      <c r="J9" s="379">
        <f>D9/'Tabell 9'!G24</f>
        <v>0.98245337894965756</v>
      </c>
      <c r="K9" s="379">
        <f>E9/'Tabell 9'!G31</f>
        <v>0.85753576013652943</v>
      </c>
      <c r="L9" s="379">
        <f>F9/'Tabell 9'!G38</f>
        <v>0.89106214084250823</v>
      </c>
      <c r="M9" s="307"/>
      <c r="N9" s="308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</row>
    <row r="10" spans="1:45" s="10" customFormat="1" ht="10.199999999999999" x14ac:dyDescent="0.2">
      <c r="A10" s="71" t="s">
        <v>4</v>
      </c>
      <c r="B10" s="456">
        <v>305.17113581000001</v>
      </c>
      <c r="C10" s="456">
        <v>434.53123152210037</v>
      </c>
      <c r="D10" s="456">
        <v>421.33587197450004</v>
      </c>
      <c r="E10" s="456">
        <v>425.46404886040017</v>
      </c>
      <c r="F10" s="456">
        <v>388.34928032079125</v>
      </c>
      <c r="G10" s="305"/>
      <c r="H10" s="306">
        <v>0.90897785664075292</v>
      </c>
      <c r="I10" s="306">
        <v>1.2604972921477688</v>
      </c>
      <c r="J10" s="306">
        <v>1.1949061909035479</v>
      </c>
      <c r="K10" s="306">
        <v>1.235628753987164</v>
      </c>
      <c r="L10" s="306">
        <v>1.172445975065034</v>
      </c>
      <c r="M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5" s="10" customFormat="1" ht="10.199999999999999" x14ac:dyDescent="0.2">
      <c r="A11" s="71" t="s">
        <v>196</v>
      </c>
      <c r="B11" s="456">
        <v>99.793258249999994</v>
      </c>
      <c r="C11" s="456">
        <v>75.543503680800001</v>
      </c>
      <c r="D11" s="456">
        <v>72.2630762963</v>
      </c>
      <c r="E11" s="456">
        <v>66.57038649499998</v>
      </c>
      <c r="F11" s="456">
        <v>65.6562686308</v>
      </c>
      <c r="G11" s="305"/>
      <c r="H11" s="306">
        <v>0.18310689587155962</v>
      </c>
      <c r="I11" s="306">
        <v>0.13370531624920354</v>
      </c>
      <c r="J11" s="306">
        <v>0.12480669481226252</v>
      </c>
      <c r="K11" s="306">
        <v>0.11302272749575548</v>
      </c>
      <c r="L11" s="306">
        <v>0.10942711438466667</v>
      </c>
      <c r="M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45" s="10" customFormat="1" ht="10.199999999999999" x14ac:dyDescent="0.2">
      <c r="A12" s="309" t="s">
        <v>157</v>
      </c>
      <c r="B12" s="463">
        <f>SUM(B10:B11)</f>
        <v>404.96439406000002</v>
      </c>
      <c r="C12" s="463">
        <f>SUM(C10:C11)</f>
        <v>510.07473520290034</v>
      </c>
      <c r="D12" s="463">
        <f>SUM(D10:D11)</f>
        <v>493.59894827080007</v>
      </c>
      <c r="E12" s="463">
        <f>SUM(E10:E11)</f>
        <v>492.03443535540015</v>
      </c>
      <c r="F12" s="463">
        <f>SUM(F10:F11)</f>
        <v>454.00554895159127</v>
      </c>
      <c r="G12" s="378"/>
      <c r="H12" s="379">
        <f>IFERROR(B12/((GETPIVOTDATA("Verdi",#REF!,"Finansieringkildekategori",,"Årstall",H$4,"Hovednr",401,"Typenr",411,"Felttype",1,"omradenr",VLOOKUP($A7,'1. Instituttoversikt'!$A$4:$E$63,5,FALSE),"Aggnivå",6,"PostKildestruktur.Kildenr",4002)
+GETPIVOTDATA("Verdi",#REF!,"Finansieringkildekategori",,"Årstall",H$4,"Hovednr",401,"Typenr",411,"Felttype",1,"omradenr",VLOOKUP($A7,'1. Instituttoversikt'!$A$4:$E$63,5,FALSE),"Aggnivå",6,"PostKildestruktur.Kildenr",4001)
+GETPIVOTDATA("Verdi",#REF!,"Finansieringkildekategori",,"Årstall",H$4,"Hovednr",401,"Typenr",411,"Felttype",1,"omradenr",VLOOKUP($A8,'1. Instituttoversikt'!$A$4:$E$63,5,FALSE),"Aggnivå",6,"PostKildestruktur.Kildenr",4002)
+GETPIVOTDATA("Verdi",#REF!,"Finansieringkildekategori",,"Årstall",H$4,"Hovednr",401,"Typenr",411,"Felttype",1,"omradenr",VLOOKUP($A8,'1. Instituttoversikt'!$A$4:$E$63,5,FALSE),"Aggnivå",6,"PostKildestruktur.Kildenr",4001))),)</f>
        <v>0</v>
      </c>
      <c r="I12" s="379">
        <f>IFERROR(C12/((GETPIVOTDATA("Verdi",#REF!,"Finansieringkildekategori",,"Årstall",I$4,"Hovednr",401,"Typenr",411,"Felttype",1,"omradenr",VLOOKUP($A7,'1. Instituttoversikt'!$A$4:$E$63,5,FALSE),"Aggnivå",6,"PostKildestruktur.Kildenr",4002)
+GETPIVOTDATA("Verdi",#REF!,"Finansieringkildekategori",,"Årstall",I$4,"Hovednr",401,"Typenr",411,"Felttype",1,"omradenr",VLOOKUP($A7,'1. Instituttoversikt'!$A$4:$E$63,5,FALSE),"Aggnivå",6,"PostKildestruktur.Kildenr",4001)
+GETPIVOTDATA("Verdi",#REF!,"Finansieringkildekategori",,"Årstall",I$4,"Hovednr",401,"Typenr",411,"Felttype",1,"omradenr",VLOOKUP($A8,'1. Instituttoversikt'!$A$4:$E$63,5,FALSE),"Aggnivå",6,"PostKildestruktur.Kildenr",4002)
+GETPIVOTDATA("Verdi",#REF!,"Finansieringkildekategori",,"Årstall",I$4,"Hovednr",401,"Typenr",411,"Felttype",1,"omradenr",VLOOKUP($A8,'1. Instituttoversikt'!$A$4:$E$63,5,FALSE),"Aggnivå",6,"PostKildestruktur.Kildenr",4001))),)</f>
        <v>0</v>
      </c>
      <c r="J12" s="379">
        <f>IFERROR(D12/((GETPIVOTDATA("Verdi",#REF!,"Finansieringkildekategori",,"Årstall",J$4,"Hovednr",401,"Typenr",411,"Felttype",1,"omradenr",VLOOKUP($A7,'1. Instituttoversikt'!$A$4:$E$63,5,FALSE),"Aggnivå",6,"PostKildestruktur.Kildenr",4002)
+GETPIVOTDATA("Verdi",#REF!,"Finansieringkildekategori",,"Årstall",J$4,"Hovednr",401,"Typenr",411,"Felttype",1,"omradenr",VLOOKUP($A7,'1. Instituttoversikt'!$A$4:$E$63,5,FALSE),"Aggnivå",6,"PostKildestruktur.Kildenr",4001)
+GETPIVOTDATA("Verdi",#REF!,"Finansieringkildekategori",,"Årstall",J$4,"Hovednr",401,"Typenr",411,"Felttype",1,"omradenr",VLOOKUP($A8,'1. Instituttoversikt'!$A$4:$E$63,5,FALSE),"Aggnivå",6,"PostKildestruktur.Kildenr",4002)
+GETPIVOTDATA("Verdi",#REF!,"Finansieringkildekategori",,"Årstall",J$4,"Hovednr",401,"Typenr",411,"Felttype",1,"omradenr",VLOOKUP($A8,'1. Instituttoversikt'!$A$4:$E$63,5,FALSE),"Aggnivå",6,"PostKildestruktur.Kildenr",4001))),)</f>
        <v>0</v>
      </c>
      <c r="K12" s="379">
        <f>IFERROR(E12/((GETPIVOTDATA("Verdi",#REF!,"Finansieringkildekategori",,"Årstall",K$4,"Hovednr",401,"Typenr",411,"Felttype",1,"omradenr",VLOOKUP($A7,'1. Instituttoversikt'!$A$4:$E$63,5,FALSE),"Aggnivå",6,"PostKildestruktur.Kildenr",4002)
+GETPIVOTDATA("Verdi",#REF!,"Finansieringkildekategori",,"Årstall",K$4,"Hovednr",401,"Typenr",411,"Felttype",1,"omradenr",VLOOKUP($A7,'1. Instituttoversikt'!$A$4:$E$63,5,FALSE),"Aggnivå",6,"PostKildestruktur.Kildenr",4001)
+GETPIVOTDATA("Verdi",#REF!,"Finansieringkildekategori",,"Årstall",K$4,"Hovednr",401,"Typenr",411,"Felttype",1,"omradenr",VLOOKUP($A8,'1. Instituttoversikt'!$A$4:$E$63,5,FALSE),"Aggnivå",6,"PostKildestruktur.Kildenr",4002)
+GETPIVOTDATA("Verdi",#REF!,"Finansieringkildekategori",,"Årstall",K$4,"Hovednr",401,"Typenr",411,"Felttype",1,"omradenr",VLOOKUP($A8,'1. Instituttoversikt'!$A$4:$E$63,5,FALSE),"Aggnivå",6,"PostKildestruktur.Kildenr",4001))),)</f>
        <v>0</v>
      </c>
      <c r="L12" s="379">
        <f>IFERROR(F12/((GETPIVOTDATA("Verdi",#REF!,"Finansieringkildekategori",,"Årstall",L$4,"Hovednr",401,"Typenr",411,"Felttype",1,"omradenr",VLOOKUP($A7,'1. Instituttoversikt'!$A$4:$E$63,5,FALSE),"Aggnivå",6,"PostKildestruktur.Kildenr",4002)
+GETPIVOTDATA("Verdi",#REF!,"Finansieringkildekategori",,"Årstall",L$4,"Hovednr",401,"Typenr",411,"Felttype",1,"omradenr",VLOOKUP($A7,'1. Instituttoversikt'!$A$4:$E$63,5,FALSE),"Aggnivå",6,"PostKildestruktur.Kildenr",4001)
+GETPIVOTDATA("Verdi",#REF!,"Finansieringkildekategori",,"Årstall",L$4,"Hovednr",401,"Typenr",411,"Felttype",1,"omradenr",VLOOKUP($A8,'1. Instituttoversikt'!$A$4:$E$63,5,FALSE),"Aggnivå",6,"PostKildestruktur.Kildenr",4002)
+GETPIVOTDATA("Verdi",#REF!,"Finansieringkildekategori",,"Årstall",L$4,"Hovednr",401,"Typenr",411,"Felttype",1,"omradenr",VLOOKUP($A8,'1. Instituttoversikt'!$A$4:$E$63,5,FALSE),"Aggnivå",6,"PostKildestruktur.Kildenr",4001))),)</f>
        <v>0</v>
      </c>
      <c r="M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45" ht="11.25" customHeight="1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311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45" ht="11.25" customHeight="1" x14ac:dyDescent="0.25">
      <c r="A14" s="19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45" ht="11.2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45" ht="11.25" customHeigh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1.25" customHeight="1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26" ht="11.25" customHeight="1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2:26" ht="11.25" customHeight="1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2:26" ht="11.25" customHeight="1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1.25" customHeight="1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2:26" ht="11.2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1.25" customHeight="1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ht="11.25" customHeight="1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1.25" customHeight="1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2:26" ht="11.25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1.25" customHeight="1" x14ac:dyDescent="0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2:26" ht="11.25" customHeight="1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2:26" ht="11.25" customHeight="1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26" ht="11.25" customHeight="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1.2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2:26" ht="11.25" customHeight="1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1.25" customHeight="1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</sheetData>
  <mergeCells count="2">
    <mergeCell ref="B3:F3"/>
    <mergeCell ref="H3:L3"/>
  </mergeCells>
  <conditionalFormatting sqref="A14">
    <cfRule type="cellIs" dxfId="1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9"/>
  <dimension ref="A1:AZ85"/>
  <sheetViews>
    <sheetView showGridLines="0" zoomScale="115" zoomScaleNormal="115" workbookViewId="0"/>
  </sheetViews>
  <sheetFormatPr baseColWidth="10" defaultColWidth="8.88671875" defaultRowHeight="11.25" customHeight="1" x14ac:dyDescent="0.2"/>
  <cols>
    <col min="1" max="1" width="40.5546875" style="257" customWidth="1"/>
    <col min="2" max="2" width="8.109375" style="257" bestFit="1" customWidth="1"/>
    <col min="3" max="3" width="6.109375" style="257" bestFit="1" customWidth="1"/>
    <col min="4" max="4" width="10.44140625" style="257" bestFit="1" customWidth="1"/>
    <col min="5" max="5" width="9.44140625" style="257" bestFit="1" customWidth="1"/>
    <col min="6" max="6" width="6.109375" style="257" bestFit="1" customWidth="1"/>
    <col min="7" max="7" width="10.109375" style="257" customWidth="1"/>
    <col min="8" max="8" width="7.88671875" style="257" bestFit="1" customWidth="1"/>
    <col min="9" max="9" width="6" style="257" customWidth="1"/>
    <col min="10" max="10" width="8.109375" style="257" bestFit="1" customWidth="1"/>
    <col min="11" max="11" width="7" style="257" bestFit="1" customWidth="1"/>
    <col min="12" max="12" width="10.44140625" style="257" bestFit="1" customWidth="1"/>
    <col min="13" max="13" width="9.44140625" style="257" bestFit="1" customWidth="1"/>
    <col min="14" max="14" width="7.44140625" style="257" customWidth="1"/>
    <col min="15" max="15" width="10.109375" style="257" bestFit="1" customWidth="1"/>
    <col min="16" max="17" width="7" style="257" bestFit="1" customWidth="1"/>
    <col min="18" max="28" width="10.5546875" style="257" customWidth="1"/>
    <col min="29" max="16384" width="8.88671875" style="257"/>
  </cols>
  <sheetData>
    <row r="1" spans="1:52" s="241" customFormat="1" ht="12" customHeight="1" x14ac:dyDescent="0.25">
      <c r="A1" s="240" t="str">
        <f>Tabelloversikt!A21</f>
        <v>Tabell 16 Avgang og tilvekst av forskere/faglig personale. 2019-2023.</v>
      </c>
      <c r="B1" s="242"/>
    </row>
    <row r="2" spans="1:52" s="244" customFormat="1" ht="12" customHeight="1" x14ac:dyDescent="0.25">
      <c r="A2" s="243"/>
      <c r="B2" s="245"/>
    </row>
    <row r="3" spans="1:52" s="250" customFormat="1" ht="10.199999999999999" x14ac:dyDescent="0.2">
      <c r="A3" s="7"/>
      <c r="B3" s="474" t="s">
        <v>19</v>
      </c>
      <c r="C3" s="474"/>
      <c r="D3" s="474"/>
      <c r="E3" s="474"/>
      <c r="F3" s="474"/>
      <c r="G3" s="474"/>
      <c r="H3" s="474"/>
      <c r="I3" s="247"/>
      <c r="J3" s="479" t="s">
        <v>20</v>
      </c>
      <c r="K3" s="474"/>
      <c r="L3" s="474"/>
      <c r="M3" s="474"/>
      <c r="N3" s="474"/>
      <c r="O3" s="474"/>
      <c r="P3" s="474"/>
      <c r="Q3" s="474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</row>
    <row r="4" spans="1:52" s="255" customFormat="1" ht="21" thickBot="1" x14ac:dyDescent="0.25">
      <c r="A4" s="6"/>
      <c r="B4" s="253" t="s">
        <v>21</v>
      </c>
      <c r="C4" s="312" t="s">
        <v>22</v>
      </c>
      <c r="D4" s="253" t="s">
        <v>23</v>
      </c>
      <c r="E4" s="253" t="s">
        <v>151</v>
      </c>
      <c r="F4" s="253" t="s">
        <v>132</v>
      </c>
      <c r="G4" s="253" t="s">
        <v>152</v>
      </c>
      <c r="H4" s="312" t="s">
        <v>0</v>
      </c>
      <c r="I4" s="312"/>
      <c r="J4" s="387" t="s">
        <v>21</v>
      </c>
      <c r="K4" s="312" t="s">
        <v>22</v>
      </c>
      <c r="L4" s="253" t="s">
        <v>23</v>
      </c>
      <c r="M4" s="253" t="s">
        <v>151</v>
      </c>
      <c r="N4" s="253" t="s">
        <v>132</v>
      </c>
      <c r="O4" s="253" t="s">
        <v>122</v>
      </c>
      <c r="P4" s="253" t="s">
        <v>152</v>
      </c>
      <c r="Q4" s="312" t="s">
        <v>0</v>
      </c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</row>
    <row r="5" spans="1:52" ht="11.25" customHeight="1" x14ac:dyDescent="0.2">
      <c r="A5" s="67">
        <f>A12-1</f>
        <v>2019</v>
      </c>
      <c r="B5" s="213"/>
      <c r="C5" s="213"/>
      <c r="D5" s="213"/>
      <c r="E5" s="213"/>
      <c r="F5" s="213"/>
      <c r="G5" s="213"/>
      <c r="H5" s="213"/>
      <c r="I5" s="213"/>
      <c r="J5" s="388"/>
      <c r="K5" s="213"/>
      <c r="L5" s="213"/>
      <c r="M5" s="213"/>
      <c r="N5" s="213"/>
      <c r="O5" s="213"/>
      <c r="P5" s="213"/>
      <c r="Q5" s="213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</row>
    <row r="6" spans="1:52" ht="11.25" customHeight="1" x14ac:dyDescent="0.2">
      <c r="A6" s="71" t="s">
        <v>5</v>
      </c>
      <c r="B6" s="203">
        <v>12</v>
      </c>
      <c r="C6" s="203">
        <v>40</v>
      </c>
      <c r="D6" s="203">
        <v>4</v>
      </c>
      <c r="E6" s="203">
        <v>20</v>
      </c>
      <c r="F6" s="203">
        <v>3</v>
      </c>
      <c r="G6" s="203">
        <v>23</v>
      </c>
      <c r="H6" s="203">
        <v>102</v>
      </c>
      <c r="I6" s="203"/>
      <c r="J6" s="389">
        <v>15</v>
      </c>
      <c r="K6" s="203">
        <v>26</v>
      </c>
      <c r="L6" s="203">
        <v>10</v>
      </c>
      <c r="M6" s="203">
        <v>14</v>
      </c>
      <c r="N6" s="203">
        <v>15</v>
      </c>
      <c r="O6" s="203">
        <v>28</v>
      </c>
      <c r="P6" s="203">
        <v>3</v>
      </c>
      <c r="Q6" s="203">
        <v>111</v>
      </c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</row>
    <row r="7" spans="1:52" ht="11.25" customHeight="1" x14ac:dyDescent="0.2">
      <c r="A7" s="71" t="s">
        <v>108</v>
      </c>
      <c r="B7" s="203">
        <v>10</v>
      </c>
      <c r="C7" s="203">
        <v>16</v>
      </c>
      <c r="D7" s="203">
        <v>6</v>
      </c>
      <c r="E7" s="203">
        <v>8</v>
      </c>
      <c r="F7" s="203">
        <v>14</v>
      </c>
      <c r="G7" s="203">
        <v>15</v>
      </c>
      <c r="H7" s="203">
        <v>69</v>
      </c>
      <c r="I7" s="203"/>
      <c r="J7" s="389">
        <v>14</v>
      </c>
      <c r="K7" s="203">
        <v>18</v>
      </c>
      <c r="L7" s="203">
        <v>7</v>
      </c>
      <c r="M7" s="203">
        <v>11</v>
      </c>
      <c r="N7" s="203">
        <v>30</v>
      </c>
      <c r="O7" s="203">
        <v>12</v>
      </c>
      <c r="P7" s="203">
        <v>6</v>
      </c>
      <c r="Q7" s="203">
        <v>98</v>
      </c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</row>
    <row r="8" spans="1:52" ht="11.25" customHeight="1" x14ac:dyDescent="0.2">
      <c r="A8" s="71" t="s">
        <v>4</v>
      </c>
      <c r="B8" s="203">
        <v>15</v>
      </c>
      <c r="C8" s="203">
        <v>6</v>
      </c>
      <c r="D8" s="203">
        <v>5</v>
      </c>
      <c r="E8" s="203">
        <v>2</v>
      </c>
      <c r="F8" s="203">
        <v>11</v>
      </c>
      <c r="G8" s="203">
        <v>24</v>
      </c>
      <c r="H8" s="203">
        <v>63</v>
      </c>
      <c r="I8" s="203"/>
      <c r="J8" s="389">
        <v>10</v>
      </c>
      <c r="K8" s="203">
        <v>10</v>
      </c>
      <c r="L8" s="203">
        <v>1</v>
      </c>
      <c r="M8" s="203">
        <v>1</v>
      </c>
      <c r="N8" s="203">
        <v>24</v>
      </c>
      <c r="O8" s="203">
        <v>11</v>
      </c>
      <c r="P8" s="203">
        <v>2</v>
      </c>
      <c r="Q8" s="203">
        <v>59</v>
      </c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</row>
    <row r="9" spans="1:52" ht="11.25" customHeight="1" x14ac:dyDescent="0.2">
      <c r="A9" s="71" t="s">
        <v>6</v>
      </c>
      <c r="B9" s="203">
        <v>78</v>
      </c>
      <c r="C9" s="203">
        <v>19</v>
      </c>
      <c r="D9" s="203">
        <v>6</v>
      </c>
      <c r="E9" s="203">
        <v>11</v>
      </c>
      <c r="F9" s="203">
        <v>12</v>
      </c>
      <c r="G9" s="203">
        <v>57</v>
      </c>
      <c r="H9" s="203">
        <v>183</v>
      </c>
      <c r="I9" s="203"/>
      <c r="J9" s="389">
        <v>45</v>
      </c>
      <c r="K9" s="203">
        <v>72</v>
      </c>
      <c r="L9" s="203">
        <v>8</v>
      </c>
      <c r="M9" s="203">
        <v>9</v>
      </c>
      <c r="N9" s="203">
        <v>27</v>
      </c>
      <c r="O9" s="203">
        <v>43</v>
      </c>
      <c r="P9" s="203">
        <v>11</v>
      </c>
      <c r="Q9" s="203">
        <v>215</v>
      </c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</row>
    <row r="10" spans="1:52" ht="11.25" customHeight="1" thickBot="1" x14ac:dyDescent="0.25">
      <c r="A10" s="124" t="s">
        <v>107</v>
      </c>
      <c r="B10" s="205">
        <f>SUM(B6:B9)</f>
        <v>115</v>
      </c>
      <c r="C10" s="205">
        <f>SUM(C6:C9)</f>
        <v>81</v>
      </c>
      <c r="D10" s="205">
        <f>SUM(D6:D9)</f>
        <v>21</v>
      </c>
      <c r="E10" s="205">
        <f t="shared" ref="E10:G10" si="0">SUM(E6:E9)</f>
        <v>41</v>
      </c>
      <c r="F10" s="205">
        <f t="shared" si="0"/>
        <v>40</v>
      </c>
      <c r="G10" s="205">
        <f t="shared" si="0"/>
        <v>119</v>
      </c>
      <c r="H10" s="205">
        <f t="shared" ref="H10:H38" si="1">SUM(B10:G10)</f>
        <v>417</v>
      </c>
      <c r="I10" s="205"/>
      <c r="J10" s="390">
        <f>SUM(J6:J9)</f>
        <v>84</v>
      </c>
      <c r="K10" s="205">
        <f>SUM(K6:K9)</f>
        <v>126</v>
      </c>
      <c r="L10" s="205">
        <f>SUM(L6:L9)</f>
        <v>26</v>
      </c>
      <c r="M10" s="205">
        <f t="shared" ref="M10" si="2">SUM(M6:M9)</f>
        <v>35</v>
      </c>
      <c r="N10" s="205">
        <f t="shared" ref="N10" si="3">SUM(N6:N9)</f>
        <v>96</v>
      </c>
      <c r="O10" s="205">
        <f t="shared" ref="O10:P10" si="4">SUM(O6:O9)</f>
        <v>94</v>
      </c>
      <c r="P10" s="205">
        <f t="shared" si="4"/>
        <v>22</v>
      </c>
      <c r="Q10" s="205">
        <f t="shared" ref="Q10:Q38" si="5">SUM(J10:P10)</f>
        <v>483</v>
      </c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</row>
    <row r="11" spans="1:52" ht="11.25" customHeight="1" thickBot="1" x14ac:dyDescent="0.3">
      <c r="A11" s="152"/>
      <c r="B11" s="208"/>
      <c r="C11" s="208"/>
      <c r="D11" s="208"/>
      <c r="E11" s="208"/>
      <c r="F11" s="208"/>
      <c r="G11" s="208"/>
      <c r="H11" s="208"/>
      <c r="I11" s="208"/>
      <c r="J11" s="391"/>
      <c r="K11" s="208"/>
      <c r="L11" s="208"/>
      <c r="M11" s="208"/>
      <c r="N11" s="208"/>
      <c r="O11" s="208"/>
      <c r="P11" s="208"/>
      <c r="Q11" s="208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</row>
    <row r="12" spans="1:52" ht="11.25" customHeight="1" x14ac:dyDescent="0.2">
      <c r="A12" s="67">
        <f>A19-1</f>
        <v>2020</v>
      </c>
      <c r="B12" s="213"/>
      <c r="C12" s="213"/>
      <c r="D12" s="213"/>
      <c r="E12" s="213"/>
      <c r="F12" s="213"/>
      <c r="G12" s="213"/>
      <c r="H12" s="213"/>
      <c r="I12" s="213"/>
      <c r="J12" s="388"/>
      <c r="K12" s="213"/>
      <c r="L12" s="213"/>
      <c r="M12" s="213"/>
      <c r="N12" s="213"/>
      <c r="O12" s="213"/>
      <c r="P12" s="213"/>
      <c r="Q12" s="213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</row>
    <row r="13" spans="1:52" ht="11.25" customHeight="1" x14ac:dyDescent="0.2">
      <c r="A13" s="71" t="s">
        <v>5</v>
      </c>
      <c r="B13" s="203">
        <v>10</v>
      </c>
      <c r="C13" s="203">
        <v>30</v>
      </c>
      <c r="D13" s="203">
        <v>8</v>
      </c>
      <c r="E13" s="203">
        <v>12</v>
      </c>
      <c r="F13" s="203">
        <v>3</v>
      </c>
      <c r="G13" s="203">
        <v>23</v>
      </c>
      <c r="H13" s="203">
        <v>86</v>
      </c>
      <c r="I13" s="203"/>
      <c r="J13" s="389">
        <v>11</v>
      </c>
      <c r="K13" s="203">
        <v>35</v>
      </c>
      <c r="L13" s="203">
        <v>14</v>
      </c>
      <c r="M13" s="203">
        <v>9</v>
      </c>
      <c r="N13" s="203">
        <v>9</v>
      </c>
      <c r="O13" s="203">
        <v>16</v>
      </c>
      <c r="P13" s="203">
        <v>9</v>
      </c>
      <c r="Q13" s="203">
        <v>103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</row>
    <row r="14" spans="1:52" ht="11.25" customHeight="1" x14ac:dyDescent="0.2">
      <c r="A14" s="71" t="s">
        <v>108</v>
      </c>
      <c r="B14" s="203">
        <v>9</v>
      </c>
      <c r="C14" s="203">
        <v>6</v>
      </c>
      <c r="D14" s="203">
        <v>4</v>
      </c>
      <c r="E14" s="203">
        <v>7</v>
      </c>
      <c r="F14" s="203">
        <v>11</v>
      </c>
      <c r="G14" s="203">
        <v>19</v>
      </c>
      <c r="H14" s="203">
        <v>56</v>
      </c>
      <c r="I14" s="203"/>
      <c r="J14" s="389">
        <v>16</v>
      </c>
      <c r="K14" s="203">
        <v>11</v>
      </c>
      <c r="L14" s="203">
        <v>3</v>
      </c>
      <c r="M14" s="203">
        <v>14</v>
      </c>
      <c r="N14" s="203">
        <v>29</v>
      </c>
      <c r="O14" s="203">
        <v>17</v>
      </c>
      <c r="P14" s="203">
        <v>4</v>
      </c>
      <c r="Q14" s="203">
        <v>94</v>
      </c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</row>
    <row r="15" spans="1:52" ht="11.25" customHeight="1" x14ac:dyDescent="0.2">
      <c r="A15" s="71" t="s">
        <v>4</v>
      </c>
      <c r="B15" s="203">
        <v>8</v>
      </c>
      <c r="C15" s="203">
        <v>6</v>
      </c>
      <c r="D15" s="203">
        <v>5</v>
      </c>
      <c r="E15" s="203">
        <v>6</v>
      </c>
      <c r="F15" s="203">
        <v>11</v>
      </c>
      <c r="G15" s="203">
        <v>26</v>
      </c>
      <c r="H15" s="203">
        <v>62</v>
      </c>
      <c r="I15" s="203"/>
      <c r="J15" s="389">
        <v>18</v>
      </c>
      <c r="K15" s="203">
        <v>8</v>
      </c>
      <c r="L15" s="203">
        <v>4</v>
      </c>
      <c r="M15" s="203">
        <v>3</v>
      </c>
      <c r="N15" s="203">
        <v>20</v>
      </c>
      <c r="O15" s="203">
        <v>3</v>
      </c>
      <c r="P15" s="203">
        <v>3</v>
      </c>
      <c r="Q15" s="203">
        <v>59</v>
      </c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</row>
    <row r="16" spans="1:52" ht="11.25" customHeight="1" x14ac:dyDescent="0.2">
      <c r="A16" s="71" t="s">
        <v>6</v>
      </c>
      <c r="B16" s="203">
        <v>53</v>
      </c>
      <c r="C16" s="203">
        <v>19</v>
      </c>
      <c r="D16" s="203">
        <v>9</v>
      </c>
      <c r="E16" s="203">
        <v>13</v>
      </c>
      <c r="F16" s="203">
        <v>22</v>
      </c>
      <c r="G16" s="203">
        <v>56</v>
      </c>
      <c r="H16" s="203">
        <v>172</v>
      </c>
      <c r="I16" s="203"/>
      <c r="J16" s="389">
        <v>65</v>
      </c>
      <c r="K16" s="203">
        <v>57</v>
      </c>
      <c r="L16" s="203">
        <v>17</v>
      </c>
      <c r="M16" s="203">
        <v>11</v>
      </c>
      <c r="N16" s="203">
        <v>46</v>
      </c>
      <c r="O16" s="203">
        <v>37</v>
      </c>
      <c r="P16" s="203">
        <v>2</v>
      </c>
      <c r="Q16" s="203">
        <v>235</v>
      </c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</row>
    <row r="17" spans="1:33" ht="11.25" customHeight="1" thickBot="1" x14ac:dyDescent="0.25">
      <c r="A17" s="124" t="s">
        <v>107</v>
      </c>
      <c r="B17" s="205">
        <f>SUM(B13:B16)</f>
        <v>80</v>
      </c>
      <c r="C17" s="205">
        <f>SUM(C13:C16)</f>
        <v>61</v>
      </c>
      <c r="D17" s="205">
        <f>SUM(D13:D16)</f>
        <v>26</v>
      </c>
      <c r="E17" s="205">
        <f t="shared" ref="E17:G17" si="6">SUM(E13:E16)</f>
        <v>38</v>
      </c>
      <c r="F17" s="205">
        <f t="shared" si="6"/>
        <v>47</v>
      </c>
      <c r="G17" s="205">
        <f t="shared" si="6"/>
        <v>124</v>
      </c>
      <c r="H17" s="205">
        <f t="shared" si="1"/>
        <v>376</v>
      </c>
      <c r="I17" s="205"/>
      <c r="J17" s="390">
        <f>SUM(J13:J16)</f>
        <v>110</v>
      </c>
      <c r="K17" s="205">
        <f>SUM(K13:K16)</f>
        <v>111</v>
      </c>
      <c r="L17" s="205">
        <f>SUM(L13:L16)</f>
        <v>38</v>
      </c>
      <c r="M17" s="205">
        <f t="shared" ref="M17" si="7">SUM(M13:M16)</f>
        <v>37</v>
      </c>
      <c r="N17" s="205">
        <f t="shared" ref="N17" si="8">SUM(N13:N16)</f>
        <v>104</v>
      </c>
      <c r="O17" s="205">
        <f t="shared" ref="O17:P17" si="9">SUM(O13:O16)</f>
        <v>73</v>
      </c>
      <c r="P17" s="205">
        <f t="shared" si="9"/>
        <v>18</v>
      </c>
      <c r="Q17" s="205">
        <f t="shared" si="5"/>
        <v>491</v>
      </c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</row>
    <row r="18" spans="1:33" ht="11.25" customHeight="1" thickBot="1" x14ac:dyDescent="0.3">
      <c r="A18" s="152"/>
      <c r="B18" s="208"/>
      <c r="C18" s="208"/>
      <c r="D18" s="208"/>
      <c r="E18" s="208"/>
      <c r="F18" s="208"/>
      <c r="G18" s="208"/>
      <c r="H18" s="208"/>
      <c r="I18" s="208"/>
      <c r="J18" s="391"/>
      <c r="K18" s="208"/>
      <c r="L18" s="208"/>
      <c r="M18" s="208"/>
      <c r="N18" s="208"/>
      <c r="O18" s="208"/>
      <c r="P18" s="208"/>
      <c r="Q18" s="208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</row>
    <row r="19" spans="1:33" ht="11.25" customHeight="1" x14ac:dyDescent="0.2">
      <c r="A19" s="67">
        <f>A26-1</f>
        <v>2021</v>
      </c>
      <c r="B19" s="213"/>
      <c r="C19" s="213"/>
      <c r="D19" s="213"/>
      <c r="E19" s="213"/>
      <c r="F19" s="213"/>
      <c r="G19" s="213"/>
      <c r="H19" s="213"/>
      <c r="I19" s="213"/>
      <c r="J19" s="388"/>
      <c r="K19" s="213"/>
      <c r="L19" s="213"/>
      <c r="M19" s="213"/>
      <c r="N19" s="213"/>
      <c r="O19" s="213"/>
      <c r="P19" s="213"/>
      <c r="Q19" s="213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</row>
    <row r="20" spans="1:33" ht="11.25" customHeight="1" x14ac:dyDescent="0.2">
      <c r="A20" s="71" t="s">
        <v>5</v>
      </c>
      <c r="B20" s="203">
        <v>10</v>
      </c>
      <c r="C20" s="203">
        <v>26</v>
      </c>
      <c r="D20" s="203">
        <v>14</v>
      </c>
      <c r="E20" s="203">
        <v>32</v>
      </c>
      <c r="F20" s="203">
        <v>10</v>
      </c>
      <c r="G20" s="203">
        <v>6</v>
      </c>
      <c r="H20" s="203">
        <v>98</v>
      </c>
      <c r="I20" s="203"/>
      <c r="J20" s="389">
        <v>16</v>
      </c>
      <c r="K20" s="203">
        <v>30</v>
      </c>
      <c r="L20" s="203">
        <v>10</v>
      </c>
      <c r="M20" s="203">
        <v>17</v>
      </c>
      <c r="N20" s="203">
        <v>32</v>
      </c>
      <c r="O20" s="203">
        <v>37</v>
      </c>
      <c r="P20" s="203">
        <v>8</v>
      </c>
      <c r="Q20" s="203">
        <v>150</v>
      </c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</row>
    <row r="21" spans="1:33" ht="11.25" customHeight="1" x14ac:dyDescent="0.2">
      <c r="A21" s="71" t="s">
        <v>108</v>
      </c>
      <c r="B21" s="203">
        <v>16</v>
      </c>
      <c r="C21" s="203">
        <v>20</v>
      </c>
      <c r="D21" s="203">
        <v>2</v>
      </c>
      <c r="E21" s="203">
        <v>11</v>
      </c>
      <c r="F21" s="203">
        <v>16</v>
      </c>
      <c r="G21" s="203">
        <v>24</v>
      </c>
      <c r="H21" s="203">
        <v>89</v>
      </c>
      <c r="I21" s="203"/>
      <c r="J21" s="389">
        <v>24</v>
      </c>
      <c r="K21" s="203">
        <v>26</v>
      </c>
      <c r="L21" s="203">
        <v>6</v>
      </c>
      <c r="M21" s="203">
        <v>15</v>
      </c>
      <c r="N21" s="203">
        <v>43</v>
      </c>
      <c r="O21" s="203">
        <v>8</v>
      </c>
      <c r="P21" s="203">
        <v>5</v>
      </c>
      <c r="Q21" s="203">
        <v>127</v>
      </c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</row>
    <row r="22" spans="1:33" ht="11.25" customHeight="1" x14ac:dyDescent="0.2">
      <c r="A22" s="71" t="s">
        <v>4</v>
      </c>
      <c r="B22" s="203">
        <v>19</v>
      </c>
      <c r="C22" s="203">
        <v>6</v>
      </c>
      <c r="D22" s="203">
        <v>3</v>
      </c>
      <c r="E22" s="203">
        <v>5</v>
      </c>
      <c r="F22" s="203">
        <v>11</v>
      </c>
      <c r="G22" s="203">
        <v>20</v>
      </c>
      <c r="H22" s="203">
        <v>64</v>
      </c>
      <c r="I22" s="203"/>
      <c r="J22" s="389">
        <v>18</v>
      </c>
      <c r="K22" s="203">
        <v>17</v>
      </c>
      <c r="L22" s="203">
        <v>5</v>
      </c>
      <c r="M22" s="203">
        <v>7</v>
      </c>
      <c r="N22" s="203">
        <v>20</v>
      </c>
      <c r="O22" s="203">
        <v>12</v>
      </c>
      <c r="P22" s="203">
        <v>2</v>
      </c>
      <c r="Q22" s="203">
        <v>81</v>
      </c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</row>
    <row r="23" spans="1:33" ht="11.25" customHeight="1" x14ac:dyDescent="0.2">
      <c r="A23" s="71" t="s">
        <v>6</v>
      </c>
      <c r="B23" s="203">
        <v>81</v>
      </c>
      <c r="C23" s="203">
        <v>22</v>
      </c>
      <c r="D23" s="203">
        <v>16</v>
      </c>
      <c r="E23" s="203">
        <v>15</v>
      </c>
      <c r="F23" s="203">
        <v>14</v>
      </c>
      <c r="G23" s="203">
        <v>48</v>
      </c>
      <c r="H23" s="203">
        <v>196</v>
      </c>
      <c r="I23" s="203"/>
      <c r="J23" s="389">
        <v>80</v>
      </c>
      <c r="K23" s="203">
        <v>86</v>
      </c>
      <c r="L23" s="203">
        <v>29</v>
      </c>
      <c r="M23" s="203">
        <v>10</v>
      </c>
      <c r="N23" s="203">
        <v>40</v>
      </c>
      <c r="O23" s="203">
        <v>64</v>
      </c>
      <c r="P23" s="203">
        <v>3</v>
      </c>
      <c r="Q23" s="203">
        <v>312</v>
      </c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</row>
    <row r="24" spans="1:33" ht="11.25" customHeight="1" thickBot="1" x14ac:dyDescent="0.25">
      <c r="A24" s="124" t="s">
        <v>107</v>
      </c>
      <c r="B24" s="205">
        <f>SUM(B20:B23)</f>
        <v>126</v>
      </c>
      <c r="C24" s="205">
        <f>SUM(C20:C23)</f>
        <v>74</v>
      </c>
      <c r="D24" s="205">
        <f>SUM(D20:D23)</f>
        <v>35</v>
      </c>
      <c r="E24" s="205">
        <f t="shared" ref="E24:G24" si="10">SUM(E20:E23)</f>
        <v>63</v>
      </c>
      <c r="F24" s="205">
        <f t="shared" si="10"/>
        <v>51</v>
      </c>
      <c r="G24" s="205">
        <f t="shared" si="10"/>
        <v>98</v>
      </c>
      <c r="H24" s="205">
        <f t="shared" si="1"/>
        <v>447</v>
      </c>
      <c r="I24" s="205"/>
      <c r="J24" s="390">
        <f>SUM(J20:J23)</f>
        <v>138</v>
      </c>
      <c r="K24" s="205">
        <f>SUM(K20:K23)</f>
        <v>159</v>
      </c>
      <c r="L24" s="205">
        <f>SUM(L20:L23)</f>
        <v>50</v>
      </c>
      <c r="M24" s="205">
        <f t="shared" ref="M24" si="11">SUM(M20:M23)</f>
        <v>49</v>
      </c>
      <c r="N24" s="205">
        <f t="shared" ref="N24" si="12">SUM(N20:N23)</f>
        <v>135</v>
      </c>
      <c r="O24" s="205">
        <f t="shared" ref="O24:P24" si="13">SUM(O20:O23)</f>
        <v>121</v>
      </c>
      <c r="P24" s="205">
        <f t="shared" si="13"/>
        <v>18</v>
      </c>
      <c r="Q24" s="205">
        <f t="shared" si="5"/>
        <v>670</v>
      </c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</row>
    <row r="25" spans="1:33" ht="11.25" customHeight="1" thickBot="1" x14ac:dyDescent="0.3">
      <c r="A25" s="152"/>
      <c r="B25" s="208"/>
      <c r="C25" s="208"/>
      <c r="D25" s="208"/>
      <c r="E25" s="208"/>
      <c r="F25" s="208"/>
      <c r="G25" s="208"/>
      <c r="H25" s="208"/>
      <c r="I25" s="208"/>
      <c r="J25" s="391"/>
      <c r="K25" s="208"/>
      <c r="L25" s="208"/>
      <c r="M25" s="208"/>
      <c r="N25" s="208"/>
      <c r="O25" s="208"/>
      <c r="P25" s="208"/>
      <c r="Q25" s="208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</row>
    <row r="26" spans="1:33" ht="11.25" customHeight="1" x14ac:dyDescent="0.2">
      <c r="A26" s="67">
        <f>A33-1</f>
        <v>2022</v>
      </c>
      <c r="B26" s="213"/>
      <c r="C26" s="213"/>
      <c r="D26" s="213"/>
      <c r="E26" s="213"/>
      <c r="F26" s="213"/>
      <c r="G26" s="213"/>
      <c r="H26" s="213"/>
      <c r="I26" s="213"/>
      <c r="J26" s="388"/>
      <c r="K26" s="213"/>
      <c r="L26" s="213"/>
      <c r="M26" s="213"/>
      <c r="N26" s="213"/>
      <c r="O26" s="213"/>
      <c r="P26" s="213"/>
      <c r="Q26" s="213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</row>
    <row r="27" spans="1:33" ht="11.25" customHeight="1" x14ac:dyDescent="0.2">
      <c r="A27" s="71" t="s">
        <v>5</v>
      </c>
      <c r="B27" s="203">
        <v>9</v>
      </c>
      <c r="C27" s="203">
        <v>33</v>
      </c>
      <c r="D27" s="203">
        <v>4</v>
      </c>
      <c r="E27" s="203">
        <v>20</v>
      </c>
      <c r="F27" s="203">
        <v>13</v>
      </c>
      <c r="G27" s="203">
        <v>21</v>
      </c>
      <c r="H27" s="203">
        <v>100</v>
      </c>
      <c r="I27" s="203"/>
      <c r="J27" s="389">
        <v>14</v>
      </c>
      <c r="K27" s="203">
        <v>31</v>
      </c>
      <c r="L27" s="203">
        <v>6</v>
      </c>
      <c r="M27" s="203">
        <v>16</v>
      </c>
      <c r="N27" s="203">
        <v>20</v>
      </c>
      <c r="O27" s="203">
        <v>31</v>
      </c>
      <c r="P27" s="203">
        <v>3</v>
      </c>
      <c r="Q27" s="203">
        <v>121</v>
      </c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</row>
    <row r="28" spans="1:33" ht="11.25" customHeight="1" x14ac:dyDescent="0.2">
      <c r="A28" s="71" t="s">
        <v>108</v>
      </c>
      <c r="B28" s="203">
        <v>17</v>
      </c>
      <c r="C28" s="203">
        <v>8</v>
      </c>
      <c r="D28" s="203">
        <v>10</v>
      </c>
      <c r="E28" s="203">
        <v>3</v>
      </c>
      <c r="F28" s="203">
        <v>16</v>
      </c>
      <c r="G28" s="203">
        <v>44</v>
      </c>
      <c r="H28" s="203">
        <v>98</v>
      </c>
      <c r="I28" s="203"/>
      <c r="J28" s="389">
        <v>9</v>
      </c>
      <c r="K28" s="203">
        <v>22</v>
      </c>
      <c r="L28" s="203">
        <v>17</v>
      </c>
      <c r="M28" s="203">
        <v>10</v>
      </c>
      <c r="N28" s="203">
        <v>35</v>
      </c>
      <c r="O28" s="203">
        <v>21</v>
      </c>
      <c r="P28" s="203">
        <v>7</v>
      </c>
      <c r="Q28" s="203">
        <v>121</v>
      </c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</row>
    <row r="29" spans="1:33" ht="11.25" customHeight="1" x14ac:dyDescent="0.2">
      <c r="A29" s="71" t="s">
        <v>4</v>
      </c>
      <c r="B29" s="203">
        <v>9</v>
      </c>
      <c r="C29" s="203">
        <v>5</v>
      </c>
      <c r="D29" s="203">
        <v>3</v>
      </c>
      <c r="E29" s="203">
        <v>6</v>
      </c>
      <c r="F29" s="203">
        <v>7</v>
      </c>
      <c r="G29" s="203">
        <v>13</v>
      </c>
      <c r="H29" s="203">
        <v>43</v>
      </c>
      <c r="I29" s="203"/>
      <c r="J29" s="389">
        <v>9</v>
      </c>
      <c r="K29" s="203">
        <v>13</v>
      </c>
      <c r="L29" s="203">
        <v>3</v>
      </c>
      <c r="M29" s="203">
        <v>4</v>
      </c>
      <c r="N29" s="203">
        <v>29</v>
      </c>
      <c r="O29" s="203">
        <v>15</v>
      </c>
      <c r="P29" s="203">
        <v>2</v>
      </c>
      <c r="Q29" s="203">
        <v>75</v>
      </c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</row>
    <row r="30" spans="1:33" ht="11.25" customHeight="1" x14ac:dyDescent="0.2">
      <c r="A30" s="71" t="s">
        <v>6</v>
      </c>
      <c r="B30" s="203">
        <v>88</v>
      </c>
      <c r="C30" s="203">
        <v>15</v>
      </c>
      <c r="D30" s="203">
        <v>13</v>
      </c>
      <c r="E30" s="203">
        <v>7</v>
      </c>
      <c r="F30" s="203">
        <v>21</v>
      </c>
      <c r="G30" s="203">
        <v>53</v>
      </c>
      <c r="H30" s="203">
        <v>197</v>
      </c>
      <c r="I30" s="203"/>
      <c r="J30" s="389">
        <v>70</v>
      </c>
      <c r="K30" s="203">
        <v>61</v>
      </c>
      <c r="L30" s="203">
        <v>16</v>
      </c>
      <c r="M30" s="203">
        <v>14</v>
      </c>
      <c r="N30" s="203">
        <v>45</v>
      </c>
      <c r="O30" s="203">
        <v>61</v>
      </c>
      <c r="P30" s="203">
        <v>1</v>
      </c>
      <c r="Q30" s="203">
        <v>268</v>
      </c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</row>
    <row r="31" spans="1:33" ht="11.25" customHeight="1" thickBot="1" x14ac:dyDescent="0.25">
      <c r="A31" s="124" t="s">
        <v>107</v>
      </c>
      <c r="B31" s="205">
        <f>SUM(B27:B30)</f>
        <v>123</v>
      </c>
      <c r="C31" s="205">
        <f>SUM(C27:C30)</f>
        <v>61</v>
      </c>
      <c r="D31" s="205">
        <f>SUM(D27:D30)</f>
        <v>30</v>
      </c>
      <c r="E31" s="205">
        <f t="shared" ref="E31:G31" si="14">SUM(E27:E30)</f>
        <v>36</v>
      </c>
      <c r="F31" s="205">
        <f t="shared" si="14"/>
        <v>57</v>
      </c>
      <c r="G31" s="205">
        <f t="shared" si="14"/>
        <v>131</v>
      </c>
      <c r="H31" s="205">
        <f t="shared" si="1"/>
        <v>438</v>
      </c>
      <c r="I31" s="205"/>
      <c r="J31" s="390">
        <f>SUM(J27:J30)</f>
        <v>102</v>
      </c>
      <c r="K31" s="205">
        <f>SUM(K27:K30)</f>
        <v>127</v>
      </c>
      <c r="L31" s="205">
        <f>SUM(L27:L30)</f>
        <v>42</v>
      </c>
      <c r="M31" s="205">
        <f t="shared" ref="M31" si="15">SUM(M27:M30)</f>
        <v>44</v>
      </c>
      <c r="N31" s="205">
        <f t="shared" ref="N31" si="16">SUM(N27:N30)</f>
        <v>129</v>
      </c>
      <c r="O31" s="205">
        <f t="shared" ref="O31:P31" si="17">SUM(O27:O30)</f>
        <v>128</v>
      </c>
      <c r="P31" s="205">
        <f t="shared" si="17"/>
        <v>13</v>
      </c>
      <c r="Q31" s="205">
        <f t="shared" si="5"/>
        <v>585</v>
      </c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</row>
    <row r="32" spans="1:33" ht="11.25" customHeight="1" thickBot="1" x14ac:dyDescent="0.3">
      <c r="A32" s="152"/>
      <c r="B32" s="208"/>
      <c r="C32" s="208"/>
      <c r="D32" s="208"/>
      <c r="E32" s="208"/>
      <c r="F32" s="208"/>
      <c r="G32" s="208"/>
      <c r="H32" s="208"/>
      <c r="I32" s="208"/>
      <c r="J32" s="391"/>
      <c r="K32" s="208"/>
      <c r="L32" s="208"/>
      <c r="M32" s="208"/>
      <c r="N32" s="208"/>
      <c r="O32" s="208"/>
      <c r="P32" s="208"/>
      <c r="Q32" s="208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</row>
    <row r="33" spans="1:33" ht="11.25" customHeight="1" x14ac:dyDescent="0.2">
      <c r="A33" s="67">
        <v>2023</v>
      </c>
      <c r="B33" s="213"/>
      <c r="C33" s="213"/>
      <c r="D33" s="213"/>
      <c r="E33" s="213"/>
      <c r="F33" s="213"/>
      <c r="G33" s="213"/>
      <c r="H33" s="213"/>
      <c r="I33" s="213"/>
      <c r="J33" s="388"/>
      <c r="K33" s="213"/>
      <c r="L33" s="213"/>
      <c r="M33" s="213"/>
      <c r="N33" s="213"/>
      <c r="O33" s="213"/>
      <c r="P33" s="213"/>
      <c r="Q33" s="213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</row>
    <row r="34" spans="1:33" ht="11.25" customHeight="1" x14ac:dyDescent="0.2">
      <c r="A34" s="71" t="s">
        <v>5</v>
      </c>
      <c r="B34" s="203">
        <v>15</v>
      </c>
      <c r="C34" s="203">
        <v>29</v>
      </c>
      <c r="D34" s="203">
        <v>3</v>
      </c>
      <c r="E34" s="203">
        <v>20</v>
      </c>
      <c r="F34" s="203">
        <v>18</v>
      </c>
      <c r="G34" s="203">
        <v>19</v>
      </c>
      <c r="H34" s="203">
        <v>104</v>
      </c>
      <c r="I34" s="203"/>
      <c r="J34" s="389">
        <v>3</v>
      </c>
      <c r="K34" s="203">
        <v>41</v>
      </c>
      <c r="L34" s="203">
        <v>10</v>
      </c>
      <c r="M34" s="203">
        <v>11</v>
      </c>
      <c r="N34" s="203">
        <v>19</v>
      </c>
      <c r="O34" s="203">
        <v>18</v>
      </c>
      <c r="P34" s="203">
        <v>6</v>
      </c>
      <c r="Q34" s="203">
        <v>108</v>
      </c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</row>
    <row r="35" spans="1:33" ht="11.25" customHeight="1" x14ac:dyDescent="0.2">
      <c r="A35" s="71" t="s">
        <v>108</v>
      </c>
      <c r="B35" s="203">
        <v>20</v>
      </c>
      <c r="C35" s="203">
        <v>13</v>
      </c>
      <c r="D35" s="203">
        <v>8</v>
      </c>
      <c r="E35" s="203">
        <v>7</v>
      </c>
      <c r="F35" s="203">
        <v>21</v>
      </c>
      <c r="G35" s="203">
        <v>23</v>
      </c>
      <c r="H35" s="203">
        <v>92</v>
      </c>
      <c r="I35" s="203"/>
      <c r="J35" s="389">
        <v>20</v>
      </c>
      <c r="K35" s="203">
        <v>26</v>
      </c>
      <c r="L35" s="203">
        <v>19</v>
      </c>
      <c r="M35" s="203">
        <v>7</v>
      </c>
      <c r="N35" s="203">
        <v>37</v>
      </c>
      <c r="O35" s="203">
        <v>30</v>
      </c>
      <c r="P35" s="203">
        <v>11</v>
      </c>
      <c r="Q35" s="203">
        <v>150</v>
      </c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</row>
    <row r="36" spans="1:33" ht="11.25" customHeight="1" x14ac:dyDescent="0.2">
      <c r="A36" s="71" t="s">
        <v>4</v>
      </c>
      <c r="B36" s="203">
        <v>15</v>
      </c>
      <c r="C36" s="203">
        <v>3</v>
      </c>
      <c r="D36" s="203">
        <v>7</v>
      </c>
      <c r="E36" s="203">
        <v>6</v>
      </c>
      <c r="F36" s="203">
        <v>9</v>
      </c>
      <c r="G36" s="203">
        <v>21</v>
      </c>
      <c r="H36" s="203">
        <v>61</v>
      </c>
      <c r="I36" s="203"/>
      <c r="J36" s="389">
        <v>20</v>
      </c>
      <c r="K36" s="203">
        <v>12</v>
      </c>
      <c r="L36" s="203">
        <v>6</v>
      </c>
      <c r="M36" s="203">
        <v>13</v>
      </c>
      <c r="N36" s="203">
        <v>23</v>
      </c>
      <c r="O36" s="203">
        <v>18</v>
      </c>
      <c r="P36" s="203">
        <v>8</v>
      </c>
      <c r="Q36" s="203">
        <v>100</v>
      </c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</row>
    <row r="37" spans="1:33" s="264" customFormat="1" ht="11.25" customHeight="1" x14ac:dyDescent="0.2">
      <c r="A37" s="71" t="s">
        <v>6</v>
      </c>
      <c r="B37" s="203">
        <v>246</v>
      </c>
      <c r="C37" s="203">
        <v>12</v>
      </c>
      <c r="D37" s="203">
        <v>11</v>
      </c>
      <c r="E37" s="203">
        <v>10</v>
      </c>
      <c r="F37" s="203">
        <v>22</v>
      </c>
      <c r="G37" s="203">
        <v>36</v>
      </c>
      <c r="H37" s="203">
        <v>337</v>
      </c>
      <c r="I37" s="203"/>
      <c r="J37" s="389">
        <v>67</v>
      </c>
      <c r="K37" s="203">
        <v>62</v>
      </c>
      <c r="L37" s="203">
        <v>17</v>
      </c>
      <c r="M37" s="203">
        <v>12</v>
      </c>
      <c r="N37" s="203">
        <v>38</v>
      </c>
      <c r="O37" s="203">
        <v>52</v>
      </c>
      <c r="P37" s="203">
        <v>14</v>
      </c>
      <c r="Q37" s="203">
        <v>262</v>
      </c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</row>
    <row r="38" spans="1:33" ht="11.25" customHeight="1" thickBot="1" x14ac:dyDescent="0.25">
      <c r="A38" s="124" t="s">
        <v>107</v>
      </c>
      <c r="B38" s="205">
        <f>SUM(B34:B37)</f>
        <v>296</v>
      </c>
      <c r="C38" s="205">
        <f>SUM(C34:C37)</f>
        <v>57</v>
      </c>
      <c r="D38" s="205">
        <f>SUM(D34:D37)</f>
        <v>29</v>
      </c>
      <c r="E38" s="205">
        <f t="shared" ref="E38:G38" si="18">SUM(E34:E37)</f>
        <v>43</v>
      </c>
      <c r="F38" s="205">
        <f t="shared" si="18"/>
        <v>70</v>
      </c>
      <c r="G38" s="205">
        <f t="shared" si="18"/>
        <v>99</v>
      </c>
      <c r="H38" s="205">
        <f t="shared" si="1"/>
        <v>594</v>
      </c>
      <c r="I38" s="205"/>
      <c r="J38" s="390">
        <f>SUM(J34:J37)</f>
        <v>110</v>
      </c>
      <c r="K38" s="205">
        <f>SUM(K34:K37)</f>
        <v>141</v>
      </c>
      <c r="L38" s="205">
        <f>SUM(L34:L37)</f>
        <v>52</v>
      </c>
      <c r="M38" s="205">
        <f t="shared" ref="M38" si="19">SUM(M34:M37)</f>
        <v>43</v>
      </c>
      <c r="N38" s="205">
        <f t="shared" ref="N38" si="20">SUM(N34:N37)</f>
        <v>117</v>
      </c>
      <c r="O38" s="205">
        <f t="shared" ref="O38:P38" si="21">SUM(O34:O37)</f>
        <v>118</v>
      </c>
      <c r="P38" s="205">
        <f t="shared" si="21"/>
        <v>39</v>
      </c>
      <c r="Q38" s="205">
        <f t="shared" si="5"/>
        <v>620</v>
      </c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</row>
    <row r="39" spans="1:33" ht="11.25" customHeight="1" x14ac:dyDescent="0.2"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</row>
    <row r="44" spans="1:33" ht="11.25" customHeight="1" x14ac:dyDescent="0.25">
      <c r="A44" s="145"/>
    </row>
    <row r="85" spans="1:1" ht="11.25" customHeight="1" x14ac:dyDescent="0.2">
      <c r="A85" s="264"/>
    </row>
  </sheetData>
  <mergeCells count="2">
    <mergeCell ref="B3:H3"/>
    <mergeCell ref="J3:Q3"/>
  </mergeCells>
  <phoneticPr fontId="5" type="noConversion"/>
  <pageMargins left="0.78740157499999996" right="0.78740157499999996" top="0.984251969" bottom="0.984251969" header="0.5" footer="0.5"/>
  <pageSetup paperSize="9" scale="76" orientation="landscape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A32"/>
  <sheetViews>
    <sheetView showGridLines="0" zoomScale="115" zoomScaleNormal="115" workbookViewId="0"/>
  </sheetViews>
  <sheetFormatPr baseColWidth="10" defaultColWidth="11.44140625" defaultRowHeight="13.8" x14ac:dyDescent="0.3"/>
  <cols>
    <col min="1" max="1" width="112" style="1" customWidth="1"/>
    <col min="2" max="16384" width="11.44140625" style="1"/>
  </cols>
  <sheetData>
    <row r="1" spans="1:1" s="2" customFormat="1" ht="15" customHeight="1" x14ac:dyDescent="0.3">
      <c r="A1" s="2" t="s">
        <v>247</v>
      </c>
    </row>
    <row r="2" spans="1:1" ht="15" customHeight="1" x14ac:dyDescent="0.3"/>
    <row r="3" spans="1:1" ht="15" customHeight="1" x14ac:dyDescent="0.3">
      <c r="A3" s="45" t="s">
        <v>95</v>
      </c>
    </row>
    <row r="4" spans="1:1" ht="15" customHeight="1" x14ac:dyDescent="0.3">
      <c r="A4" s="46" t="s">
        <v>248</v>
      </c>
    </row>
    <row r="5" spans="1:1" ht="15" customHeight="1" x14ac:dyDescent="0.3">
      <c r="A5" s="46" t="s">
        <v>249</v>
      </c>
    </row>
    <row r="6" spans="1:1" ht="15" customHeight="1" x14ac:dyDescent="0.3">
      <c r="A6" s="47" t="s">
        <v>250</v>
      </c>
    </row>
    <row r="7" spans="1:1" ht="15" customHeight="1" x14ac:dyDescent="0.3">
      <c r="A7" s="47" t="s">
        <v>251</v>
      </c>
    </row>
    <row r="8" spans="1:1" ht="15" customHeight="1" x14ac:dyDescent="0.3">
      <c r="A8" s="48" t="s">
        <v>258</v>
      </c>
    </row>
    <row r="9" spans="1:1" ht="15" customHeight="1" x14ac:dyDescent="0.3">
      <c r="A9" s="48" t="s">
        <v>259</v>
      </c>
    </row>
    <row r="10" spans="1:1" ht="15" customHeight="1" x14ac:dyDescent="0.3">
      <c r="A10" s="49" t="s">
        <v>260</v>
      </c>
    </row>
    <row r="11" spans="1:1" ht="15" customHeight="1" x14ac:dyDescent="0.3">
      <c r="A11" s="49" t="s">
        <v>273</v>
      </c>
    </row>
    <row r="12" spans="1:1" ht="15" customHeight="1" x14ac:dyDescent="0.3">
      <c r="A12" s="46" t="s">
        <v>261</v>
      </c>
    </row>
    <row r="13" spans="1:1" ht="15" customHeight="1" x14ac:dyDescent="0.3">
      <c r="A13" s="46" t="s">
        <v>262</v>
      </c>
    </row>
    <row r="14" spans="1:1" ht="15" customHeight="1" x14ac:dyDescent="0.3">
      <c r="A14" s="46" t="s">
        <v>263</v>
      </c>
    </row>
    <row r="15" spans="1:1" ht="15" customHeight="1" x14ac:dyDescent="0.3">
      <c r="A15" s="46" t="s">
        <v>264</v>
      </c>
    </row>
    <row r="16" spans="1:1" ht="15" customHeight="1" x14ac:dyDescent="0.3">
      <c r="A16" s="46" t="s">
        <v>265</v>
      </c>
    </row>
    <row r="17" spans="1:1" ht="15" customHeight="1" x14ac:dyDescent="0.3">
      <c r="A17" s="46" t="s">
        <v>252</v>
      </c>
    </row>
    <row r="18" spans="1:1" ht="15" customHeight="1" x14ac:dyDescent="0.3">
      <c r="A18" s="12" t="s">
        <v>253</v>
      </c>
    </row>
    <row r="19" spans="1:1" ht="15" customHeight="1" x14ac:dyDescent="0.3">
      <c r="A19" s="46" t="s">
        <v>266</v>
      </c>
    </row>
    <row r="20" spans="1:1" ht="15" customHeight="1" x14ac:dyDescent="0.3">
      <c r="A20" s="46" t="s">
        <v>267</v>
      </c>
    </row>
    <row r="21" spans="1:1" ht="15" customHeight="1" x14ac:dyDescent="0.3">
      <c r="A21" s="46" t="s">
        <v>268</v>
      </c>
    </row>
    <row r="22" spans="1:1" ht="15" customHeight="1" x14ac:dyDescent="0.3">
      <c r="A22" s="46" t="s">
        <v>254</v>
      </c>
    </row>
    <row r="23" spans="1:1" ht="15" customHeight="1" x14ac:dyDescent="0.3">
      <c r="A23" s="46" t="s">
        <v>255</v>
      </c>
    </row>
    <row r="24" spans="1:1" ht="15" customHeight="1" x14ac:dyDescent="0.3">
      <c r="A24" s="46" t="s">
        <v>257</v>
      </c>
    </row>
    <row r="25" spans="1:1" ht="15" customHeight="1" x14ac:dyDescent="0.3">
      <c r="A25" s="46" t="s">
        <v>269</v>
      </c>
    </row>
    <row r="26" spans="1:1" ht="15" customHeight="1" x14ac:dyDescent="0.3">
      <c r="A26" s="46" t="s">
        <v>256</v>
      </c>
    </row>
    <row r="32" spans="1:1" s="15" customFormat="1" x14ac:dyDescent="0.3"/>
  </sheetData>
  <phoneticPr fontId="6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14"/>
  <dimension ref="A1:AT40"/>
  <sheetViews>
    <sheetView showGridLines="0" zoomScale="110" zoomScaleNormal="110" workbookViewId="0"/>
  </sheetViews>
  <sheetFormatPr baseColWidth="10" defaultColWidth="8.88671875" defaultRowHeight="11.25" customHeight="1" x14ac:dyDescent="0.2"/>
  <cols>
    <col min="1" max="1" width="47.44140625" style="276" customWidth="1"/>
    <col min="2" max="4" width="10.5546875" style="276" customWidth="1"/>
    <col min="5" max="5" width="3.44140625" style="276" customWidth="1"/>
    <col min="6" max="8" width="10.5546875" style="276" customWidth="1"/>
    <col min="9" max="9" width="3.44140625" style="276" customWidth="1"/>
    <col min="10" max="22" width="10.5546875" style="276" customWidth="1"/>
    <col min="23" max="16384" width="8.88671875" style="276"/>
  </cols>
  <sheetData>
    <row r="1" spans="1:46" s="268" customFormat="1" ht="12" customHeight="1" x14ac:dyDescent="0.25">
      <c r="A1" s="384" t="str">
        <f>Tabelloversikt!A22</f>
        <v>Tabell 17 Veiledning av master og doktorgradsstudenter 2023</v>
      </c>
      <c r="B1" s="385"/>
    </row>
    <row r="2" spans="1:46" s="270" customFormat="1" ht="12" customHeight="1" x14ac:dyDescent="0.2">
      <c r="A2" s="269"/>
    </row>
    <row r="3" spans="1:46" s="269" customFormat="1" ht="24" customHeight="1" x14ac:dyDescent="0.2">
      <c r="A3" s="7"/>
      <c r="B3" s="468" t="s">
        <v>130</v>
      </c>
      <c r="C3" s="468"/>
      <c r="D3" s="468"/>
      <c r="E3" s="8"/>
      <c r="F3" s="468" t="s">
        <v>135</v>
      </c>
      <c r="G3" s="468"/>
      <c r="H3" s="468"/>
      <c r="I3" s="8"/>
      <c r="J3" s="468" t="s">
        <v>134</v>
      </c>
      <c r="K3" s="468"/>
      <c r="L3" s="468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</row>
    <row r="4" spans="1:46" s="270" customFormat="1" ht="15" customHeight="1" thickBot="1" x14ac:dyDescent="0.25">
      <c r="A4" s="6"/>
      <c r="B4" s="64" t="s">
        <v>0</v>
      </c>
      <c r="C4" s="64" t="s">
        <v>16</v>
      </c>
      <c r="D4" s="64" t="s">
        <v>17</v>
      </c>
      <c r="E4" s="64"/>
      <c r="F4" s="64" t="s">
        <v>0</v>
      </c>
      <c r="G4" s="64" t="s">
        <v>16</v>
      </c>
      <c r="H4" s="64" t="s">
        <v>17</v>
      </c>
      <c r="I4" s="64"/>
      <c r="J4" s="64" t="s">
        <v>0</v>
      </c>
      <c r="K4" s="64" t="s">
        <v>16</v>
      </c>
      <c r="L4" s="64" t="s">
        <v>17</v>
      </c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</row>
    <row r="5" spans="1:46" ht="11.25" customHeight="1" x14ac:dyDescent="0.2">
      <c r="A5" s="67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</row>
    <row r="6" spans="1:46" ht="11.25" customHeight="1" x14ac:dyDescent="0.2">
      <c r="A6" s="71" t="s">
        <v>5</v>
      </c>
      <c r="B6" s="279">
        <v>70</v>
      </c>
      <c r="C6" s="9">
        <v>50</v>
      </c>
      <c r="D6" s="9">
        <v>20</v>
      </c>
      <c r="E6" s="9"/>
      <c r="F6" s="279">
        <v>100</v>
      </c>
      <c r="G6" s="9">
        <v>56</v>
      </c>
      <c r="H6" s="9">
        <v>44</v>
      </c>
      <c r="I6" s="9"/>
      <c r="J6" s="279">
        <v>87</v>
      </c>
      <c r="K6" s="9">
        <v>50</v>
      </c>
      <c r="L6" s="9">
        <v>37</v>
      </c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</row>
    <row r="7" spans="1:46" ht="11.25" customHeight="1" x14ac:dyDescent="0.2">
      <c r="A7" s="71" t="s">
        <v>108</v>
      </c>
      <c r="B7" s="279">
        <v>61</v>
      </c>
      <c r="C7" s="9">
        <v>38</v>
      </c>
      <c r="D7" s="9">
        <v>23</v>
      </c>
      <c r="E7" s="9"/>
      <c r="F7" s="279">
        <v>125</v>
      </c>
      <c r="G7" s="9">
        <v>43</v>
      </c>
      <c r="H7" s="9">
        <v>82</v>
      </c>
      <c r="I7" s="9"/>
      <c r="J7" s="279">
        <v>148</v>
      </c>
      <c r="K7" s="9">
        <v>55</v>
      </c>
      <c r="L7" s="9">
        <v>93</v>
      </c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</row>
    <row r="8" spans="1:46" ht="11.25" customHeight="1" x14ac:dyDescent="0.2">
      <c r="A8" s="71" t="s">
        <v>4</v>
      </c>
      <c r="B8" s="279">
        <v>70</v>
      </c>
      <c r="C8" s="9">
        <v>40</v>
      </c>
      <c r="D8" s="9">
        <v>30</v>
      </c>
      <c r="E8" s="9"/>
      <c r="F8" s="279">
        <v>124</v>
      </c>
      <c r="G8" s="9">
        <v>68</v>
      </c>
      <c r="H8" s="9">
        <v>56</v>
      </c>
      <c r="I8" s="9"/>
      <c r="J8" s="279">
        <v>110</v>
      </c>
      <c r="K8" s="9">
        <v>61</v>
      </c>
      <c r="L8" s="9">
        <v>49</v>
      </c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</row>
    <row r="9" spans="1:46" ht="11.25" customHeight="1" x14ac:dyDescent="0.2">
      <c r="A9" s="71" t="s">
        <v>6</v>
      </c>
      <c r="B9" s="279">
        <v>95</v>
      </c>
      <c r="C9" s="9">
        <v>33</v>
      </c>
      <c r="D9" s="9">
        <v>62</v>
      </c>
      <c r="E9" s="9"/>
      <c r="F9" s="279">
        <v>200</v>
      </c>
      <c r="G9" s="9">
        <v>51</v>
      </c>
      <c r="H9" s="9">
        <v>149</v>
      </c>
      <c r="I9" s="9"/>
      <c r="J9" s="279">
        <v>209</v>
      </c>
      <c r="K9" s="9">
        <v>55</v>
      </c>
      <c r="L9" s="9">
        <v>154</v>
      </c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</row>
    <row r="10" spans="1:46" ht="11.25" customHeight="1" x14ac:dyDescent="0.2">
      <c r="A10" s="78" t="s">
        <v>107</v>
      </c>
      <c r="B10" s="313">
        <f>SUM(B6:B9)</f>
        <v>296</v>
      </c>
      <c r="C10" s="313">
        <f>SUM(C6:C9)</f>
        <v>161</v>
      </c>
      <c r="D10" s="313">
        <f>SUM(D6:D9)</f>
        <v>135</v>
      </c>
      <c r="E10" s="313"/>
      <c r="F10" s="313">
        <f>SUM(F6:F9)</f>
        <v>549</v>
      </c>
      <c r="G10" s="313">
        <f>SUM(G6:G9)</f>
        <v>218</v>
      </c>
      <c r="H10" s="313">
        <f>SUM(H6:H9)</f>
        <v>331</v>
      </c>
      <c r="I10" s="313"/>
      <c r="J10" s="313">
        <f t="shared" ref="J10:L10" si="0">SUM(J6:J9)</f>
        <v>554</v>
      </c>
      <c r="K10" s="313">
        <f t="shared" si="0"/>
        <v>221</v>
      </c>
      <c r="L10" s="313">
        <f t="shared" si="0"/>
        <v>333</v>
      </c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</row>
    <row r="11" spans="1:46" ht="11.25" customHeight="1" x14ac:dyDescent="0.2">
      <c r="A11" s="71" t="s">
        <v>110</v>
      </c>
      <c r="B11" s="279">
        <v>66</v>
      </c>
      <c r="C11" s="9">
        <v>30</v>
      </c>
      <c r="D11" s="9">
        <v>36</v>
      </c>
      <c r="E11" s="9"/>
      <c r="F11" s="279">
        <v>83</v>
      </c>
      <c r="G11" s="9">
        <v>33</v>
      </c>
      <c r="H11" s="9">
        <v>50</v>
      </c>
      <c r="I11" s="9"/>
      <c r="J11" s="279">
        <v>67</v>
      </c>
      <c r="K11" s="9">
        <v>34</v>
      </c>
      <c r="L11" s="9">
        <v>33</v>
      </c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</row>
    <row r="12" spans="1:46" ht="11.25" customHeight="1" x14ac:dyDescent="0.2">
      <c r="A12" s="71" t="s">
        <v>111</v>
      </c>
      <c r="B12" s="279">
        <v>20</v>
      </c>
      <c r="C12" s="9">
        <v>6</v>
      </c>
      <c r="D12" s="9">
        <v>14</v>
      </c>
      <c r="E12" s="9"/>
      <c r="F12" s="279">
        <v>18</v>
      </c>
      <c r="G12" s="9">
        <v>4</v>
      </c>
      <c r="H12" s="9">
        <v>14</v>
      </c>
      <c r="I12" s="9"/>
      <c r="J12" s="279">
        <v>11</v>
      </c>
      <c r="K12" s="9">
        <v>3</v>
      </c>
      <c r="L12" s="9">
        <v>8</v>
      </c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</row>
    <row r="13" spans="1:46" ht="11.25" customHeight="1" x14ac:dyDescent="0.2">
      <c r="A13" s="78" t="s">
        <v>197</v>
      </c>
      <c r="B13" s="313">
        <f>SUM(B11:B12)+B10</f>
        <v>382</v>
      </c>
      <c r="C13" s="313">
        <f>SUM(C11:C12)+C10</f>
        <v>197</v>
      </c>
      <c r="D13" s="313">
        <f>SUM(D11:D12)+D10</f>
        <v>185</v>
      </c>
      <c r="E13" s="313"/>
      <c r="F13" s="313">
        <f>SUM(F11:F12)+F10</f>
        <v>650</v>
      </c>
      <c r="G13" s="313">
        <f>SUM(G11:G12)+G10</f>
        <v>255</v>
      </c>
      <c r="H13" s="313">
        <f>SUM(H11:H12)+H10</f>
        <v>395</v>
      </c>
      <c r="I13" s="313"/>
      <c r="J13" s="313">
        <f>SUM(J11:J12)+J10</f>
        <v>632</v>
      </c>
      <c r="K13" s="313">
        <f>SUM(K11:K12)+K10</f>
        <v>258</v>
      </c>
      <c r="L13" s="313">
        <f>SUM(L11:L12)+L10</f>
        <v>374</v>
      </c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</row>
    <row r="14" spans="1:46" s="10" customFormat="1" ht="11.25" customHeight="1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46" s="10" customFormat="1" ht="11.25" customHeight="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46" s="10" customFormat="1" ht="11.2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2:27" ht="11.25" customHeight="1" x14ac:dyDescent="0.2"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</row>
    <row r="18" spans="2:27" ht="11.25" customHeight="1" x14ac:dyDescent="0.2"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</row>
    <row r="19" spans="2:27" ht="11.25" customHeight="1" x14ac:dyDescent="0.2"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</row>
    <row r="20" spans="2:27" ht="11.25" customHeight="1" x14ac:dyDescent="0.2"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</row>
    <row r="21" spans="2:27" ht="11.25" customHeight="1" x14ac:dyDescent="0.2"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</row>
    <row r="22" spans="2:27" ht="11.25" customHeight="1" x14ac:dyDescent="0.2">
      <c r="B22" s="217"/>
      <c r="C22" s="217"/>
      <c r="D22" s="217"/>
      <c r="E22" s="279"/>
      <c r="F22" s="217"/>
      <c r="G22" s="217"/>
      <c r="H22" s="217"/>
      <c r="I22" s="217"/>
      <c r="J22" s="217"/>
      <c r="K22" s="217"/>
      <c r="L22" s="217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</row>
    <row r="23" spans="2:27" ht="11.25" customHeight="1" x14ac:dyDescent="0.2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</row>
    <row r="24" spans="2:27" ht="11.25" customHeight="1" x14ac:dyDescent="0.2"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</row>
    <row r="25" spans="2:27" ht="11.25" customHeight="1" x14ac:dyDescent="0.2"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</row>
    <row r="26" spans="2:27" ht="11.25" customHeight="1" x14ac:dyDescent="0.2"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</row>
    <row r="27" spans="2:27" ht="11.25" customHeight="1" x14ac:dyDescent="0.2"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</row>
    <row r="28" spans="2:27" ht="11.25" customHeight="1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</row>
    <row r="29" spans="2:27" ht="11.25" customHeight="1" x14ac:dyDescent="0.2"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</row>
    <row r="30" spans="2:27" ht="11.25" customHeight="1" x14ac:dyDescent="0.2"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</row>
    <row r="31" spans="2:27" ht="11.25" customHeight="1" x14ac:dyDescent="0.2"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</row>
    <row r="32" spans="2:27" ht="11.25" customHeight="1" x14ac:dyDescent="0.2"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</row>
    <row r="33" spans="2:27" ht="11.25" customHeight="1" x14ac:dyDescent="0.2"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</row>
    <row r="34" spans="2:27" ht="11.25" customHeight="1" x14ac:dyDescent="0.2"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</row>
    <row r="35" spans="2:27" ht="11.25" customHeight="1" x14ac:dyDescent="0.2"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</row>
    <row r="36" spans="2:27" ht="11.25" customHeight="1" x14ac:dyDescent="0.2"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</row>
    <row r="37" spans="2:27" ht="11.25" customHeight="1" x14ac:dyDescent="0.2"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</row>
    <row r="38" spans="2:27" ht="11.25" customHeight="1" x14ac:dyDescent="0.2"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</row>
    <row r="39" spans="2:27" ht="11.25" customHeight="1" x14ac:dyDescent="0.2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</row>
    <row r="40" spans="2:27" ht="11.25" customHeight="1" x14ac:dyDescent="0.2"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</row>
  </sheetData>
  <mergeCells count="3">
    <mergeCell ref="B3:D3"/>
    <mergeCell ref="J3:L3"/>
    <mergeCell ref="F3:H3"/>
  </mergeCells>
  <phoneticPr fontId="6" type="noConversion"/>
  <printOptions gridLinesSet="0"/>
  <pageMargins left="0.78740157499999996" right="0.78740157499999996" top="0.984251969" bottom="0.984251969" header="0.5" footer="0.5"/>
  <pageSetup paperSize="9" scale="87" orientation="landscape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15"/>
  <dimension ref="A1:HX89"/>
  <sheetViews>
    <sheetView showGridLines="0" zoomScale="130" zoomScaleNormal="130" workbookViewId="0"/>
  </sheetViews>
  <sheetFormatPr baseColWidth="10" defaultColWidth="8.88671875" defaultRowHeight="11.25" customHeight="1" x14ac:dyDescent="0.2"/>
  <cols>
    <col min="1" max="1" width="47" style="322" customWidth="1"/>
    <col min="2" max="3" width="6.109375" style="322" customWidth="1"/>
    <col min="4" max="4" width="2.5546875" style="322" customWidth="1"/>
    <col min="5" max="6" width="6.109375" style="322" customWidth="1"/>
    <col min="7" max="7" width="2.5546875" style="322" customWidth="1"/>
    <col min="8" max="9" width="6.109375" style="322" customWidth="1"/>
    <col min="10" max="10" width="2.5546875" style="322" customWidth="1"/>
    <col min="11" max="12" width="6.109375" style="322" customWidth="1"/>
    <col min="13" max="13" width="2.5546875" style="322" customWidth="1"/>
    <col min="14" max="15" width="6.109375" style="335" customWidth="1"/>
    <col min="16" max="16" width="2.5546875" style="335" customWidth="1"/>
    <col min="17" max="18" width="6.109375" style="335" customWidth="1"/>
    <col min="19" max="19" width="2.5546875" style="335" customWidth="1"/>
    <col min="20" max="21" width="6.109375" style="335" customWidth="1"/>
    <col min="22" max="22" width="2.5546875" style="322" customWidth="1"/>
    <col min="23" max="24" width="6.109375" style="322" customWidth="1"/>
    <col min="25" max="16384" width="8.88671875" style="322"/>
  </cols>
  <sheetData>
    <row r="1" spans="1:44" s="315" customFormat="1" ht="12" customHeight="1" x14ac:dyDescent="0.25">
      <c r="A1" s="314" t="str">
        <f>Tabelloversikt!A23</f>
        <v>Tabell 18 Utenlandske gjesteforskere ved instituttet og instituttforskere med utenlandsopphold 2023</v>
      </c>
    </row>
    <row r="2" spans="1:44" s="317" customFormat="1" ht="12" customHeight="1" x14ac:dyDescent="0.2">
      <c r="A2" s="316"/>
    </row>
    <row r="3" spans="1:44" s="317" customFormat="1" ht="24.75" customHeight="1" x14ac:dyDescent="0.2">
      <c r="A3" s="7"/>
      <c r="B3" s="468" t="s">
        <v>31</v>
      </c>
      <c r="C3" s="468"/>
      <c r="D3" s="8"/>
      <c r="E3" s="468" t="s">
        <v>32</v>
      </c>
      <c r="F3" s="468"/>
      <c r="G3" s="8"/>
      <c r="H3" s="468" t="s">
        <v>33</v>
      </c>
      <c r="I3" s="468"/>
      <c r="J3" s="8"/>
      <c r="K3" s="482" t="s">
        <v>34</v>
      </c>
      <c r="L3" s="482"/>
      <c r="M3" s="8"/>
      <c r="N3" s="468" t="s">
        <v>35</v>
      </c>
      <c r="O3" s="468"/>
      <c r="P3" s="8"/>
      <c r="Q3" s="480" t="s">
        <v>36</v>
      </c>
      <c r="R3" s="480"/>
      <c r="S3" s="8"/>
      <c r="T3" s="481" t="s">
        <v>37</v>
      </c>
      <c r="U3" s="481"/>
      <c r="V3" s="8"/>
      <c r="W3" s="481" t="s">
        <v>38</v>
      </c>
      <c r="X3" s="481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</row>
    <row r="4" spans="1:44" s="320" customFormat="1" ht="10.8" thickBot="1" x14ac:dyDescent="0.25">
      <c r="A4" s="6"/>
      <c r="B4" s="64" t="s">
        <v>18</v>
      </c>
      <c r="C4" s="64" t="s">
        <v>39</v>
      </c>
      <c r="D4" s="64"/>
      <c r="E4" s="64" t="s">
        <v>18</v>
      </c>
      <c r="F4" s="64" t="s">
        <v>39</v>
      </c>
      <c r="G4" s="64"/>
      <c r="H4" s="64" t="s">
        <v>18</v>
      </c>
      <c r="I4" s="64" t="s">
        <v>39</v>
      </c>
      <c r="J4" s="64"/>
      <c r="K4" s="64" t="s">
        <v>18</v>
      </c>
      <c r="L4" s="64" t="s">
        <v>39</v>
      </c>
      <c r="M4" s="64"/>
      <c r="N4" s="64" t="s">
        <v>18</v>
      </c>
      <c r="O4" s="64" t="s">
        <v>39</v>
      </c>
      <c r="P4" s="64"/>
      <c r="Q4" s="64" t="s">
        <v>18</v>
      </c>
      <c r="R4" s="64" t="s">
        <v>39</v>
      </c>
      <c r="S4" s="64"/>
      <c r="T4" s="64" t="s">
        <v>18</v>
      </c>
      <c r="U4" s="64" t="s">
        <v>39</v>
      </c>
      <c r="V4" s="64"/>
      <c r="W4" s="64" t="s">
        <v>18</v>
      </c>
      <c r="X4" s="64" t="s">
        <v>39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</row>
    <row r="5" spans="1:44" ht="11.25" customHeight="1" x14ac:dyDescent="0.2">
      <c r="A5" s="67" t="s">
        <v>121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</row>
    <row r="6" spans="1:44" ht="11.25" customHeight="1" x14ac:dyDescent="0.2">
      <c r="A6" s="71" t="s">
        <v>5</v>
      </c>
      <c r="B6" s="323">
        <v>3</v>
      </c>
      <c r="C6" s="323">
        <v>20</v>
      </c>
      <c r="D6" s="323"/>
      <c r="E6" s="323">
        <v>4</v>
      </c>
      <c r="F6" s="323">
        <v>9</v>
      </c>
      <c r="G6" s="323"/>
      <c r="H6" s="323">
        <v>1</v>
      </c>
      <c r="I6" s="323">
        <v>6</v>
      </c>
      <c r="J6" s="323"/>
      <c r="K6" s="323">
        <v>0</v>
      </c>
      <c r="L6" s="323">
        <v>0</v>
      </c>
      <c r="M6" s="323"/>
      <c r="N6" s="323">
        <v>1</v>
      </c>
      <c r="O6" s="323">
        <v>2</v>
      </c>
      <c r="P6" s="323"/>
      <c r="Q6" s="323">
        <v>3</v>
      </c>
      <c r="R6" s="323">
        <v>28</v>
      </c>
      <c r="S6" s="323"/>
      <c r="T6" s="323">
        <v>2</v>
      </c>
      <c r="U6" s="323">
        <v>4</v>
      </c>
      <c r="V6" s="323"/>
      <c r="W6" s="323">
        <v>14</v>
      </c>
      <c r="X6" s="323">
        <v>69</v>
      </c>
      <c r="Y6" s="324"/>
    </row>
    <row r="7" spans="1:44" ht="11.25" customHeight="1" x14ac:dyDescent="0.2">
      <c r="A7" s="71" t="s">
        <v>108</v>
      </c>
      <c r="B7" s="323">
        <v>5</v>
      </c>
      <c r="C7" s="323">
        <v>26</v>
      </c>
      <c r="D7" s="323"/>
      <c r="E7" s="323">
        <v>15</v>
      </c>
      <c r="F7" s="323">
        <v>64</v>
      </c>
      <c r="G7" s="323"/>
      <c r="H7" s="323">
        <v>0</v>
      </c>
      <c r="I7" s="323">
        <v>0</v>
      </c>
      <c r="J7" s="323"/>
      <c r="K7" s="323">
        <v>2</v>
      </c>
      <c r="L7" s="323">
        <v>15</v>
      </c>
      <c r="M7" s="323"/>
      <c r="N7" s="323">
        <v>1</v>
      </c>
      <c r="O7" s="323">
        <v>6</v>
      </c>
      <c r="P7" s="323"/>
      <c r="Q7" s="323">
        <v>8</v>
      </c>
      <c r="R7" s="323">
        <v>74</v>
      </c>
      <c r="S7" s="323"/>
      <c r="T7" s="323">
        <v>1</v>
      </c>
      <c r="U7" s="323">
        <v>12</v>
      </c>
      <c r="V7" s="323"/>
      <c r="W7" s="323">
        <v>32</v>
      </c>
      <c r="X7" s="323">
        <v>197</v>
      </c>
      <c r="Y7" s="324"/>
    </row>
    <row r="8" spans="1:44" ht="11.25" customHeight="1" x14ac:dyDescent="0.2">
      <c r="A8" s="71" t="s">
        <v>4</v>
      </c>
      <c r="B8" s="323">
        <v>1</v>
      </c>
      <c r="C8" s="323">
        <v>3</v>
      </c>
      <c r="D8" s="323"/>
      <c r="E8" s="323">
        <v>6</v>
      </c>
      <c r="F8" s="323">
        <v>17</v>
      </c>
      <c r="G8" s="323"/>
      <c r="H8" s="323">
        <v>1</v>
      </c>
      <c r="I8" s="323">
        <v>4</v>
      </c>
      <c r="J8" s="323"/>
      <c r="K8" s="323">
        <v>0</v>
      </c>
      <c r="L8" s="323">
        <v>0</v>
      </c>
      <c r="M8" s="323"/>
      <c r="N8" s="323">
        <v>2</v>
      </c>
      <c r="O8" s="323">
        <v>4</v>
      </c>
      <c r="P8" s="323"/>
      <c r="Q8" s="323">
        <v>1</v>
      </c>
      <c r="R8" s="323">
        <v>6</v>
      </c>
      <c r="S8" s="323"/>
      <c r="T8" s="323">
        <v>2</v>
      </c>
      <c r="U8" s="323">
        <v>9</v>
      </c>
      <c r="V8" s="323"/>
      <c r="W8" s="323">
        <v>13</v>
      </c>
      <c r="X8" s="323">
        <v>43</v>
      </c>
      <c r="Y8" s="324"/>
    </row>
    <row r="9" spans="1:44" ht="11.25" customHeight="1" x14ac:dyDescent="0.2">
      <c r="A9" s="71" t="s">
        <v>6</v>
      </c>
      <c r="B9" s="323">
        <v>5</v>
      </c>
      <c r="C9" s="323">
        <v>20</v>
      </c>
      <c r="D9" s="323"/>
      <c r="E9" s="323">
        <v>24</v>
      </c>
      <c r="F9" s="323">
        <v>92</v>
      </c>
      <c r="G9" s="323"/>
      <c r="H9" s="323">
        <v>5</v>
      </c>
      <c r="I9" s="323">
        <v>19</v>
      </c>
      <c r="J9" s="323"/>
      <c r="K9" s="323">
        <v>0</v>
      </c>
      <c r="L9" s="323">
        <v>0</v>
      </c>
      <c r="M9" s="323"/>
      <c r="N9" s="323">
        <v>0</v>
      </c>
      <c r="O9" s="323">
        <v>0</v>
      </c>
      <c r="P9" s="323"/>
      <c r="Q9" s="323">
        <v>10</v>
      </c>
      <c r="R9" s="323">
        <v>64</v>
      </c>
      <c r="S9" s="323"/>
      <c r="T9" s="323">
        <v>0</v>
      </c>
      <c r="U9" s="323">
        <v>0</v>
      </c>
      <c r="V9" s="323"/>
      <c r="W9" s="323">
        <v>44</v>
      </c>
      <c r="X9" s="323">
        <v>195</v>
      </c>
      <c r="Y9" s="324"/>
      <c r="Z9" s="126"/>
    </row>
    <row r="10" spans="1:44" ht="10.199999999999999" x14ac:dyDescent="0.2">
      <c r="A10" s="78" t="s">
        <v>107</v>
      </c>
      <c r="B10" s="325">
        <f>SUM(B6:B9)</f>
        <v>14</v>
      </c>
      <c r="C10" s="325">
        <f>SUM(C6:C9)</f>
        <v>69</v>
      </c>
      <c r="D10" s="325"/>
      <c r="E10" s="325">
        <f>SUM(E6:E9)</f>
        <v>49</v>
      </c>
      <c r="F10" s="325">
        <f>SUM(F6:F9)</f>
        <v>182</v>
      </c>
      <c r="G10" s="325"/>
      <c r="H10" s="325">
        <f>SUM(H6:H9)</f>
        <v>7</v>
      </c>
      <c r="I10" s="325">
        <f>SUM(I6:I9)</f>
        <v>29</v>
      </c>
      <c r="J10" s="325"/>
      <c r="K10" s="325">
        <f>SUM(K6:K9)</f>
        <v>2</v>
      </c>
      <c r="L10" s="325">
        <f>SUM(L6:L9)</f>
        <v>15</v>
      </c>
      <c r="M10" s="325"/>
      <c r="N10" s="325">
        <f>SUM(N6:N9)</f>
        <v>4</v>
      </c>
      <c r="O10" s="325">
        <f>SUM(O6:O9)</f>
        <v>12</v>
      </c>
      <c r="P10" s="325"/>
      <c r="Q10" s="325">
        <f>SUM(Q6:Q9)</f>
        <v>22</v>
      </c>
      <c r="R10" s="325">
        <f>SUM(R6:R9)</f>
        <v>172</v>
      </c>
      <c r="S10" s="325"/>
      <c r="T10" s="325">
        <f>SUM(T6:T9)</f>
        <v>5</v>
      </c>
      <c r="U10" s="325">
        <f>SUM(U6:U9)</f>
        <v>25</v>
      </c>
      <c r="V10" s="325"/>
      <c r="W10" s="325">
        <f t="shared" ref="W10" si="0">B10+E10+H10+K10+N10+Q10+T10</f>
        <v>103</v>
      </c>
      <c r="X10" s="325">
        <f t="shared" ref="X10" si="1">C10+F10+I10+L10+O10+R10+U10</f>
        <v>504</v>
      </c>
      <c r="Y10" s="324"/>
    </row>
    <row r="11" spans="1:44" ht="11.25" customHeight="1" x14ac:dyDescent="0.2">
      <c r="A11" s="326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4"/>
    </row>
    <row r="12" spans="1:44" ht="11.25" customHeight="1" x14ac:dyDescent="0.2">
      <c r="A12" s="327"/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4"/>
    </row>
    <row r="13" spans="1:44" s="321" customFormat="1" ht="24.75" customHeight="1" x14ac:dyDescent="0.2">
      <c r="A13" s="7"/>
      <c r="B13" s="468" t="s">
        <v>31</v>
      </c>
      <c r="C13" s="468"/>
      <c r="D13" s="8"/>
      <c r="E13" s="468" t="s">
        <v>32</v>
      </c>
      <c r="F13" s="468"/>
      <c r="G13" s="8"/>
      <c r="H13" s="468" t="s">
        <v>33</v>
      </c>
      <c r="I13" s="468"/>
      <c r="J13" s="8"/>
      <c r="K13" s="482" t="s">
        <v>34</v>
      </c>
      <c r="L13" s="482"/>
      <c r="M13" s="8"/>
      <c r="N13" s="468" t="s">
        <v>35</v>
      </c>
      <c r="O13" s="468"/>
      <c r="P13" s="8"/>
      <c r="Q13" s="480" t="s">
        <v>36</v>
      </c>
      <c r="R13" s="480"/>
      <c r="S13" s="8"/>
      <c r="T13" s="481" t="s">
        <v>37</v>
      </c>
      <c r="U13" s="481"/>
      <c r="V13" s="8"/>
      <c r="W13" s="481" t="s">
        <v>38</v>
      </c>
      <c r="X13" s="481"/>
    </row>
    <row r="14" spans="1:44" s="328" customFormat="1" ht="11.25" customHeight="1" thickBot="1" x14ac:dyDescent="0.25">
      <c r="A14" s="6"/>
      <c r="B14" s="64" t="s">
        <v>18</v>
      </c>
      <c r="C14" s="64" t="s">
        <v>39</v>
      </c>
      <c r="D14" s="64"/>
      <c r="E14" s="64" t="s">
        <v>18</v>
      </c>
      <c r="F14" s="64" t="s">
        <v>39</v>
      </c>
      <c r="G14" s="64"/>
      <c r="H14" s="64" t="s">
        <v>18</v>
      </c>
      <c r="I14" s="64" t="s">
        <v>39</v>
      </c>
      <c r="J14" s="64"/>
      <c r="K14" s="64" t="s">
        <v>18</v>
      </c>
      <c r="L14" s="64" t="s">
        <v>39</v>
      </c>
      <c r="M14" s="64"/>
      <c r="N14" s="64" t="s">
        <v>18</v>
      </c>
      <c r="O14" s="64" t="s">
        <v>39</v>
      </c>
      <c r="P14" s="64"/>
      <c r="Q14" s="64" t="s">
        <v>18</v>
      </c>
      <c r="R14" s="64" t="s">
        <v>39</v>
      </c>
      <c r="S14" s="64"/>
      <c r="T14" s="64" t="s">
        <v>18</v>
      </c>
      <c r="U14" s="64" t="s">
        <v>39</v>
      </c>
      <c r="V14" s="64"/>
      <c r="W14" s="64" t="s">
        <v>18</v>
      </c>
      <c r="X14" s="64" t="s">
        <v>39</v>
      </c>
    </row>
    <row r="15" spans="1:44" ht="11.25" customHeight="1" x14ac:dyDescent="0.2">
      <c r="A15" s="67" t="s">
        <v>119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324"/>
    </row>
    <row r="16" spans="1:44" ht="11.25" customHeight="1" x14ac:dyDescent="0.2">
      <c r="A16" s="71" t="s">
        <v>5</v>
      </c>
      <c r="B16" s="323">
        <v>4</v>
      </c>
      <c r="C16" s="323">
        <v>14</v>
      </c>
      <c r="D16" s="323"/>
      <c r="E16" s="323">
        <v>7</v>
      </c>
      <c r="F16" s="323">
        <v>26</v>
      </c>
      <c r="G16" s="323"/>
      <c r="H16" s="323">
        <v>2</v>
      </c>
      <c r="I16" s="323">
        <v>16</v>
      </c>
      <c r="J16" s="323"/>
      <c r="K16" s="323">
        <v>3</v>
      </c>
      <c r="L16" s="323">
        <v>10</v>
      </c>
      <c r="M16" s="323"/>
      <c r="N16" s="323">
        <v>0</v>
      </c>
      <c r="O16" s="323">
        <v>0</v>
      </c>
      <c r="P16" s="323"/>
      <c r="Q16" s="323">
        <v>3</v>
      </c>
      <c r="R16" s="323">
        <v>17</v>
      </c>
      <c r="S16" s="323"/>
      <c r="T16" s="323">
        <v>1</v>
      </c>
      <c r="U16" s="323">
        <v>6</v>
      </c>
      <c r="V16" s="323"/>
      <c r="W16" s="323">
        <v>20</v>
      </c>
      <c r="X16" s="323">
        <v>89</v>
      </c>
      <c r="Y16" s="324"/>
    </row>
    <row r="17" spans="1:231" ht="11.25" customHeight="1" x14ac:dyDescent="0.2">
      <c r="A17" s="71" t="s">
        <v>108</v>
      </c>
      <c r="B17" s="323">
        <v>1</v>
      </c>
      <c r="C17" s="323">
        <v>3</v>
      </c>
      <c r="D17" s="323"/>
      <c r="E17" s="323">
        <v>1</v>
      </c>
      <c r="F17" s="323">
        <v>9</v>
      </c>
      <c r="G17" s="323"/>
      <c r="H17" s="323">
        <v>1</v>
      </c>
      <c r="I17" s="323">
        <v>3</v>
      </c>
      <c r="J17" s="323"/>
      <c r="K17" s="323">
        <v>0</v>
      </c>
      <c r="L17" s="323">
        <v>0</v>
      </c>
      <c r="M17" s="323"/>
      <c r="N17" s="323">
        <v>0</v>
      </c>
      <c r="O17" s="323">
        <v>0</v>
      </c>
      <c r="P17" s="323"/>
      <c r="Q17" s="323">
        <v>0</v>
      </c>
      <c r="R17" s="323">
        <v>0</v>
      </c>
      <c r="S17" s="323"/>
      <c r="T17" s="323">
        <v>0</v>
      </c>
      <c r="U17" s="323">
        <v>0</v>
      </c>
      <c r="V17" s="323"/>
      <c r="W17" s="323">
        <v>3</v>
      </c>
      <c r="X17" s="323">
        <v>15</v>
      </c>
      <c r="Y17" s="324"/>
    </row>
    <row r="18" spans="1:231" ht="11.25" customHeight="1" x14ac:dyDescent="0.2">
      <c r="A18" s="71" t="s">
        <v>4</v>
      </c>
      <c r="B18" s="323">
        <v>0</v>
      </c>
      <c r="C18" s="323">
        <v>0</v>
      </c>
      <c r="D18" s="323"/>
      <c r="E18" s="323">
        <v>1</v>
      </c>
      <c r="F18" s="323">
        <v>4</v>
      </c>
      <c r="G18" s="323"/>
      <c r="H18" s="323">
        <v>0</v>
      </c>
      <c r="I18" s="323">
        <v>0</v>
      </c>
      <c r="J18" s="323"/>
      <c r="K18" s="323">
        <v>3</v>
      </c>
      <c r="L18" s="323">
        <v>12</v>
      </c>
      <c r="M18" s="323"/>
      <c r="N18" s="323">
        <v>0</v>
      </c>
      <c r="O18" s="323">
        <v>0</v>
      </c>
      <c r="P18" s="323"/>
      <c r="Q18" s="323">
        <v>0</v>
      </c>
      <c r="R18" s="323">
        <v>0</v>
      </c>
      <c r="S18" s="323"/>
      <c r="T18" s="323">
        <v>0</v>
      </c>
      <c r="U18" s="323">
        <v>0</v>
      </c>
      <c r="V18" s="323"/>
      <c r="W18" s="323">
        <v>4</v>
      </c>
      <c r="X18" s="323">
        <v>16</v>
      </c>
      <c r="Y18" s="324"/>
    </row>
    <row r="19" spans="1:231" ht="11.25" customHeight="1" x14ac:dyDescent="0.2">
      <c r="A19" s="71" t="s">
        <v>6</v>
      </c>
      <c r="B19" s="323">
        <v>0</v>
      </c>
      <c r="C19" s="323">
        <v>0</v>
      </c>
      <c r="D19" s="323"/>
      <c r="E19" s="323">
        <v>3</v>
      </c>
      <c r="F19" s="323">
        <v>11</v>
      </c>
      <c r="G19" s="323"/>
      <c r="H19" s="323">
        <v>3</v>
      </c>
      <c r="I19" s="323">
        <v>21</v>
      </c>
      <c r="J19" s="323"/>
      <c r="K19" s="323">
        <v>3</v>
      </c>
      <c r="L19" s="323">
        <v>18</v>
      </c>
      <c r="M19" s="323"/>
      <c r="N19" s="323">
        <v>1</v>
      </c>
      <c r="O19" s="323">
        <v>6</v>
      </c>
      <c r="P19" s="323"/>
      <c r="Q19" s="323">
        <v>1</v>
      </c>
      <c r="R19" s="323">
        <v>2</v>
      </c>
      <c r="S19" s="323"/>
      <c r="T19" s="323">
        <v>0</v>
      </c>
      <c r="U19" s="323">
        <v>0</v>
      </c>
      <c r="V19" s="323"/>
      <c r="W19" s="323">
        <v>11</v>
      </c>
      <c r="X19" s="323">
        <v>58</v>
      </c>
      <c r="Y19" s="324"/>
    </row>
    <row r="20" spans="1:231" ht="11.25" customHeight="1" x14ac:dyDescent="0.2">
      <c r="A20" s="78" t="s">
        <v>107</v>
      </c>
      <c r="B20" s="325">
        <f>SUM(B16:B19)</f>
        <v>5</v>
      </c>
      <c r="C20" s="325">
        <f>SUM(C16:C19)</f>
        <v>17</v>
      </c>
      <c r="D20" s="325"/>
      <c r="E20" s="325">
        <f>SUM(E16:E19)</f>
        <v>12</v>
      </c>
      <c r="F20" s="325">
        <f>SUM(F16:F19)</f>
        <v>50</v>
      </c>
      <c r="G20" s="325"/>
      <c r="H20" s="325">
        <f>SUM(H16:H19)</f>
        <v>6</v>
      </c>
      <c r="I20" s="325">
        <f>SUM(I16:I19)</f>
        <v>40</v>
      </c>
      <c r="J20" s="325"/>
      <c r="K20" s="325">
        <f>SUM(K16:K19)</f>
        <v>9</v>
      </c>
      <c r="L20" s="325">
        <f>SUM(L16:L19)</f>
        <v>40</v>
      </c>
      <c r="M20" s="325"/>
      <c r="N20" s="325">
        <f>SUM(N16:N19)</f>
        <v>1</v>
      </c>
      <c r="O20" s="325">
        <f>SUM(O16:O19)</f>
        <v>6</v>
      </c>
      <c r="P20" s="325"/>
      <c r="Q20" s="325">
        <f>SUM(Q16:Q19)</f>
        <v>4</v>
      </c>
      <c r="R20" s="325">
        <f>SUM(R16:R19)</f>
        <v>19</v>
      </c>
      <c r="S20" s="325"/>
      <c r="T20" s="325">
        <f>SUM(T16:T19)</f>
        <v>1</v>
      </c>
      <c r="U20" s="325">
        <f>SUM(U16:U19)</f>
        <v>6</v>
      </c>
      <c r="V20" s="325"/>
      <c r="W20" s="325">
        <f t="shared" ref="W20:W26" si="2">B20+E20+H20+K20+N20+Q20+T20</f>
        <v>38</v>
      </c>
      <c r="X20" s="325">
        <f t="shared" ref="X20:X26" si="3">C20+F20+I20+L20+O20+R20+U20</f>
        <v>178</v>
      </c>
      <c r="Y20" s="324"/>
    </row>
    <row r="21" spans="1:231" ht="11.25" hidden="1" customHeight="1" x14ac:dyDescent="0.2">
      <c r="A21" s="71" t="e">
        <f>#REF!</f>
        <v>#REF!</v>
      </c>
      <c r="B21" s="323">
        <f>IFERROR(GETPIVOTDATA("Verdi",#REF!,"Finansieringkildekategori",,"Årstall",#REF!,"Hovednr",805,"Typenr",851,"Felttype",1,"omradenr",VLOOKUP($A6,'1. Instituttoversikt'!$A$4:$E$63,5,FALSE),"Aggnivå",,"PostKildestruktur.Kildenr",7901),0)</f>
        <v>0</v>
      </c>
      <c r="C21" s="323">
        <f>IFERROR(GETPIVOTDATA("Verdi",#REF!,"Finansieringkildekategori",,"Årstall",#REF!,"Hovednr",805,"Typenr",851,"Felttype",2,"omradenr",VLOOKUP($A6,'1. Instituttoversikt'!$A$4:$E$63,5,FALSE),"Aggnivå",,"PostKildestruktur.Kildenr",7901),0)</f>
        <v>0</v>
      </c>
      <c r="D21" s="323"/>
      <c r="E21" s="323">
        <f>IFERROR(GETPIVOTDATA("Verdi",#REF!,"Finansieringkildekategori",,"Årstall",#REF!,"Hovednr",805,"Typenr",851,"Felttype",1,"omradenr",VLOOKUP($A6,'1. Instituttoversikt'!$A$4:$E$63,5,FALSE),"Aggnivå",,"PostKildestruktur.Kildenr",7991),0)</f>
        <v>0</v>
      </c>
      <c r="F21" s="323">
        <f>IFERROR(GETPIVOTDATA("Verdi",#REF!,"Finansieringkildekategori",,"Årstall",#REF!,"Hovednr",805,"Typenr",851,"Felttype",2,"omradenr",VLOOKUP($A6,'1. Instituttoversikt'!$A$4:$E$63,5,FALSE),"Aggnivå",,"PostKildestruktur.Kildenr",7991),0)</f>
        <v>0</v>
      </c>
      <c r="G21" s="323"/>
      <c r="H21" s="323">
        <f>IFERROR(GETPIVOTDATA("Verdi",#REF!,"Finansieringkildekategori",,"Årstall",#REF!,"Hovednr",805,"Typenr",851,"Felttype",1,"omradenr",VLOOKUP($A6,'1. Instituttoversikt'!$A$4:$E$63,5,FALSE),"Aggnivå",,"PostKildestruktur.Kildenr",7990),0)</f>
        <v>0</v>
      </c>
      <c r="I21" s="323">
        <f>IFERROR(GETPIVOTDATA("Verdi",#REF!,"Finansieringkildekategori",,"Årstall",#REF!,"Hovednr",805,"Typenr",851,"Felttype",2,"omradenr",VLOOKUP($A6,'1. Instituttoversikt'!$A$4:$E$63,5,FALSE),"Aggnivå",,"PostKildestruktur.Kildenr",7990),0)</f>
        <v>0</v>
      </c>
      <c r="J21" s="323"/>
      <c r="K21" s="323">
        <f>IFERROR(GETPIVOTDATA("Verdi",#REF!,"Finansieringkildekategori",,"Årstall",#REF!,"Hovednr",805,"Typenr",851,"Felttype",1,"omradenr",VLOOKUP($A6,'1. Instituttoversikt'!$A$4:$E$63,5,FALSE),"Aggnivå",,"PostKildestruktur.Kildenr",7162),0)</f>
        <v>0</v>
      </c>
      <c r="L21" s="323">
        <f>IFERROR(GETPIVOTDATA("Verdi",#REF!,"Finansieringkildekategori",,"Årstall",#REF!,"Hovednr",805,"Typenr",851,"Felttype",2,"omradenr",VLOOKUP($A6,'1. Instituttoversikt'!$A$4:$E$63,5,FALSE),"Aggnivå",,"PostKildestruktur.Kildenr",7162),0)</f>
        <v>0</v>
      </c>
      <c r="M21" s="323"/>
      <c r="N21" s="323">
        <f>IFERROR(GETPIVOTDATA("Verdi",#REF!,"Finansieringkildekategori",,"Årstall",#REF!,"Hovednr",805,"Typenr",851,"Felttype",1,"omradenr",VLOOKUP($A6,'1. Instituttoversikt'!$A$4:$E$63,5,FALSE),"Aggnivå",,"PostKildestruktur.Kildenr",7161),0)</f>
        <v>0</v>
      </c>
      <c r="O21" s="323">
        <f>IFERROR(GETPIVOTDATA("Verdi",#REF!,"Finansieringkildekategori",,"Årstall",#REF!,"Hovednr",805,"Typenr",851,"Felttype",2,"omradenr",VLOOKUP($A6,'1. Instituttoversikt'!$A$4:$E$63,5,FALSE),"Aggnivå",,"PostKildestruktur.Kildenr",7161),0)</f>
        <v>0</v>
      </c>
      <c r="P21" s="323"/>
      <c r="Q21" s="323">
        <f>IFERROR(GETPIVOTDATA("Verdi",#REF!,"Finansieringkildekategori",,"Årstall",#REF!,"Hovednr",805,"Typenr",851,"Felttype",1,"omradenr",VLOOKUP($A6,'1. Instituttoversikt'!$A$4:$E$63,5,FALSE),"Aggnivå",,"PostKildestruktur.Kildenr",7903),0)</f>
        <v>0</v>
      </c>
      <c r="R21" s="323">
        <f>IFERROR(GETPIVOTDATA("Verdi",#REF!,"Finansieringkildekategori",,"Årstall",#REF!,"Hovednr",805,"Typenr",851,"Felttype",2,"omradenr",VLOOKUP($A6,'1. Instituttoversikt'!$A$4:$E$63,5,FALSE),"Aggnivå",,"PostKildestruktur.Kildenr",7903),0)</f>
        <v>0</v>
      </c>
      <c r="S21" s="323"/>
      <c r="T21" s="323">
        <f>IFERROR(GETPIVOTDATA("Verdi",#REF!,"Finansieringkildekategori",,"Årstall",#REF!,"Hovednr",805,"Typenr",851,"Felttype",1,"omradenr",VLOOKUP($A6,'1. Instituttoversikt'!$A$4:$E$63,5,FALSE),"Aggnivå",,"PostKildestruktur.Kildenr",9901),0)</f>
        <v>0</v>
      </c>
      <c r="U21" s="323">
        <f>IFERROR(GETPIVOTDATA("Verdi",#REF!,"Finansieringkildekategori",,"Årstall",#REF!,"Hovednr",805,"Typenr",851,"Felttype",2,"omradenr",VLOOKUP($A6,'1. Instituttoversikt'!$A$4:$E$63,5,FALSE),"Aggnivå",,"PostKildestruktur.Kildenr",9901),0)</f>
        <v>0</v>
      </c>
      <c r="V21" s="323"/>
      <c r="W21" s="323">
        <f t="shared" si="2"/>
        <v>0</v>
      </c>
      <c r="X21" s="323">
        <f t="shared" si="3"/>
        <v>0</v>
      </c>
      <c r="Y21" s="324"/>
    </row>
    <row r="22" spans="1:231" ht="11.25" hidden="1" customHeight="1" x14ac:dyDescent="0.2">
      <c r="A22" s="71" t="e">
        <f>#REF!</f>
        <v>#REF!</v>
      </c>
      <c r="B22" s="323">
        <f>IFERROR(GETPIVOTDATA("Verdi",#REF!,"Finansieringkildekategori",,"Årstall",#REF!,"Hovednr",805,"Typenr",851,"Felttype",1,"omradenr",VLOOKUP($A7,'1. Instituttoversikt'!$A$4:$E$63,5,FALSE),"Aggnivå",,"PostKildestruktur.Kildenr",7901),0)</f>
        <v>0</v>
      </c>
      <c r="C22" s="323">
        <f>IFERROR(GETPIVOTDATA("Verdi",#REF!,"Finansieringkildekategori",,"Årstall",#REF!,"Hovednr",805,"Typenr",851,"Felttype",2,"omradenr",VLOOKUP($A7,'1. Instituttoversikt'!$A$4:$E$63,5,FALSE),"Aggnivå",,"PostKildestruktur.Kildenr",7901),0)</f>
        <v>0</v>
      </c>
      <c r="D22" s="323"/>
      <c r="E22" s="323">
        <f>IFERROR(GETPIVOTDATA("Verdi",#REF!,"Finansieringkildekategori",,"Årstall",#REF!,"Hovednr",805,"Typenr",851,"Felttype",1,"omradenr",VLOOKUP($A7,'1. Instituttoversikt'!$A$4:$E$63,5,FALSE),"Aggnivå",,"PostKildestruktur.Kildenr",7991),0)</f>
        <v>0</v>
      </c>
      <c r="F22" s="323">
        <f>IFERROR(GETPIVOTDATA("Verdi",#REF!,"Finansieringkildekategori",,"Årstall",#REF!,"Hovednr",805,"Typenr",851,"Felttype",2,"omradenr",VLOOKUP($A7,'1. Instituttoversikt'!$A$4:$E$63,5,FALSE),"Aggnivå",,"PostKildestruktur.Kildenr",7991),0)</f>
        <v>0</v>
      </c>
      <c r="G22" s="323"/>
      <c r="H22" s="323">
        <f>IFERROR(GETPIVOTDATA("Verdi",#REF!,"Finansieringkildekategori",,"Årstall",#REF!,"Hovednr",805,"Typenr",851,"Felttype",1,"omradenr",VLOOKUP($A7,'1. Instituttoversikt'!$A$4:$E$63,5,FALSE),"Aggnivå",,"PostKildestruktur.Kildenr",7990),0)</f>
        <v>0</v>
      </c>
      <c r="I22" s="323">
        <f>IFERROR(GETPIVOTDATA("Verdi",#REF!,"Finansieringkildekategori",,"Årstall",#REF!,"Hovednr",805,"Typenr",851,"Felttype",2,"omradenr",VLOOKUP($A7,'1. Instituttoversikt'!$A$4:$E$63,5,FALSE),"Aggnivå",,"PostKildestruktur.Kildenr",7990),0)</f>
        <v>0</v>
      </c>
      <c r="J22" s="323"/>
      <c r="K22" s="323">
        <f>IFERROR(GETPIVOTDATA("Verdi",#REF!,"Finansieringkildekategori",,"Årstall",#REF!,"Hovednr",805,"Typenr",851,"Felttype",1,"omradenr",VLOOKUP($A7,'1. Instituttoversikt'!$A$4:$E$63,5,FALSE),"Aggnivå",,"PostKildestruktur.Kildenr",7162),0)</f>
        <v>0</v>
      </c>
      <c r="L22" s="323">
        <f>IFERROR(GETPIVOTDATA("Verdi",#REF!,"Finansieringkildekategori",,"Årstall",#REF!,"Hovednr",805,"Typenr",851,"Felttype",2,"omradenr",VLOOKUP($A7,'1. Instituttoversikt'!$A$4:$E$63,5,FALSE),"Aggnivå",,"PostKildestruktur.Kildenr",7162),0)</f>
        <v>0</v>
      </c>
      <c r="M22" s="323"/>
      <c r="N22" s="323">
        <f>IFERROR(GETPIVOTDATA("Verdi",#REF!,"Finansieringkildekategori",,"Årstall",#REF!,"Hovednr",805,"Typenr",851,"Felttype",1,"omradenr",VLOOKUP($A7,'1. Instituttoversikt'!$A$4:$E$63,5,FALSE),"Aggnivå",,"PostKildestruktur.Kildenr",7161),0)</f>
        <v>0</v>
      </c>
      <c r="O22" s="323">
        <f>IFERROR(GETPIVOTDATA("Verdi",#REF!,"Finansieringkildekategori",,"Årstall",#REF!,"Hovednr",805,"Typenr",851,"Felttype",2,"omradenr",VLOOKUP($A7,'1. Instituttoversikt'!$A$4:$E$63,5,FALSE),"Aggnivå",,"PostKildestruktur.Kildenr",7161),0)</f>
        <v>0</v>
      </c>
      <c r="P22" s="323"/>
      <c r="Q22" s="323">
        <f>IFERROR(GETPIVOTDATA("Verdi",#REF!,"Finansieringkildekategori",,"Årstall",#REF!,"Hovednr",805,"Typenr",851,"Felttype",1,"omradenr",VLOOKUP($A7,'1. Instituttoversikt'!$A$4:$E$63,5,FALSE),"Aggnivå",,"PostKildestruktur.Kildenr",7903),0)</f>
        <v>0</v>
      </c>
      <c r="R22" s="323">
        <f>IFERROR(GETPIVOTDATA("Verdi",#REF!,"Finansieringkildekategori",,"Årstall",#REF!,"Hovednr",805,"Typenr",851,"Felttype",2,"omradenr",VLOOKUP($A7,'1. Instituttoversikt'!$A$4:$E$63,5,FALSE),"Aggnivå",,"PostKildestruktur.Kildenr",7903),0)</f>
        <v>0</v>
      </c>
      <c r="S22" s="323"/>
      <c r="T22" s="323">
        <f>IFERROR(GETPIVOTDATA("Verdi",#REF!,"Finansieringkildekategori",,"Årstall",#REF!,"Hovednr",805,"Typenr",851,"Felttype",1,"omradenr",VLOOKUP($A7,'1. Instituttoversikt'!$A$4:$E$63,5,FALSE),"Aggnivå",,"PostKildestruktur.Kildenr",9901),0)</f>
        <v>0</v>
      </c>
      <c r="U22" s="323">
        <f>IFERROR(GETPIVOTDATA("Verdi",#REF!,"Finansieringkildekategori",,"Årstall",#REF!,"Hovednr",805,"Typenr",851,"Felttype",2,"omradenr",VLOOKUP($A7,'1. Instituttoversikt'!$A$4:$E$63,5,FALSE),"Aggnivå",,"PostKildestruktur.Kildenr",9901),0)</f>
        <v>0</v>
      </c>
      <c r="V22" s="323"/>
      <c r="W22" s="323">
        <f t="shared" si="2"/>
        <v>0</v>
      </c>
      <c r="X22" s="323">
        <f t="shared" si="3"/>
        <v>0</v>
      </c>
      <c r="Y22" s="324"/>
    </row>
    <row r="23" spans="1:231" ht="11.25" hidden="1" customHeight="1" x14ac:dyDescent="0.2">
      <c r="A23" s="71" t="e">
        <f>#REF!</f>
        <v>#REF!</v>
      </c>
      <c r="B23" s="323">
        <f>IFERROR(GETPIVOTDATA("Verdi",#REF!,"Finansieringkildekategori",,"Årstall",#REF!,"Hovednr",805,"Typenr",851,"Felttype",1,"omradenr",VLOOKUP($A8,'1. Instituttoversikt'!$A$4:$E$63,5,FALSE),"Aggnivå",,"PostKildestruktur.Kildenr",7901),0)</f>
        <v>0</v>
      </c>
      <c r="C23" s="323">
        <f>IFERROR(GETPIVOTDATA("Verdi",#REF!,"Finansieringkildekategori",,"Årstall",#REF!,"Hovednr",805,"Typenr",851,"Felttype",2,"omradenr",VLOOKUP($A8,'1. Instituttoversikt'!$A$4:$E$63,5,FALSE),"Aggnivå",,"PostKildestruktur.Kildenr",7901),0)</f>
        <v>0</v>
      </c>
      <c r="D23" s="323"/>
      <c r="E23" s="323">
        <f>IFERROR(GETPIVOTDATA("Verdi",#REF!,"Finansieringkildekategori",,"Årstall",#REF!,"Hovednr",805,"Typenr",851,"Felttype",1,"omradenr",VLOOKUP($A8,'1. Instituttoversikt'!$A$4:$E$63,5,FALSE),"Aggnivå",,"PostKildestruktur.Kildenr",7991),0)</f>
        <v>0</v>
      </c>
      <c r="F23" s="323">
        <f>IFERROR(GETPIVOTDATA("Verdi",#REF!,"Finansieringkildekategori",,"Årstall",#REF!,"Hovednr",805,"Typenr",851,"Felttype",2,"omradenr",VLOOKUP($A8,'1. Instituttoversikt'!$A$4:$E$63,5,FALSE),"Aggnivå",,"PostKildestruktur.Kildenr",7991),0)</f>
        <v>0</v>
      </c>
      <c r="G23" s="323"/>
      <c r="H23" s="323">
        <f>IFERROR(GETPIVOTDATA("Verdi",#REF!,"Finansieringkildekategori",,"Årstall",#REF!,"Hovednr",805,"Typenr",851,"Felttype",1,"omradenr",VLOOKUP($A8,'1. Instituttoversikt'!$A$4:$E$63,5,FALSE),"Aggnivå",,"PostKildestruktur.Kildenr",7990),0)</f>
        <v>0</v>
      </c>
      <c r="I23" s="323">
        <f>IFERROR(GETPIVOTDATA("Verdi",#REF!,"Finansieringkildekategori",,"Årstall",#REF!,"Hovednr",805,"Typenr",851,"Felttype",2,"omradenr",VLOOKUP($A8,'1. Instituttoversikt'!$A$4:$E$63,5,FALSE),"Aggnivå",,"PostKildestruktur.Kildenr",7990),0)</f>
        <v>0</v>
      </c>
      <c r="J23" s="323"/>
      <c r="K23" s="323">
        <f>IFERROR(GETPIVOTDATA("Verdi",#REF!,"Finansieringkildekategori",,"Årstall",#REF!,"Hovednr",805,"Typenr",851,"Felttype",1,"omradenr",VLOOKUP($A8,'1. Instituttoversikt'!$A$4:$E$63,5,FALSE),"Aggnivå",,"PostKildestruktur.Kildenr",7162),0)</f>
        <v>0</v>
      </c>
      <c r="L23" s="323">
        <f>IFERROR(GETPIVOTDATA("Verdi",#REF!,"Finansieringkildekategori",,"Årstall",#REF!,"Hovednr",805,"Typenr",851,"Felttype",2,"omradenr",VLOOKUP($A8,'1. Instituttoversikt'!$A$4:$E$63,5,FALSE),"Aggnivå",,"PostKildestruktur.Kildenr",7162),0)</f>
        <v>0</v>
      </c>
      <c r="M23" s="323"/>
      <c r="N23" s="323">
        <f>IFERROR(GETPIVOTDATA("Verdi",#REF!,"Finansieringkildekategori",,"Årstall",#REF!,"Hovednr",805,"Typenr",851,"Felttype",1,"omradenr",VLOOKUP($A8,'1. Instituttoversikt'!$A$4:$E$63,5,FALSE),"Aggnivå",,"PostKildestruktur.Kildenr",7161),0)</f>
        <v>0</v>
      </c>
      <c r="O23" s="323">
        <f>IFERROR(GETPIVOTDATA("Verdi",#REF!,"Finansieringkildekategori",,"Årstall",#REF!,"Hovednr",805,"Typenr",851,"Felttype",2,"omradenr",VLOOKUP($A8,'1. Instituttoversikt'!$A$4:$E$63,5,FALSE),"Aggnivå",,"PostKildestruktur.Kildenr",7161),0)</f>
        <v>0</v>
      </c>
      <c r="P23" s="323"/>
      <c r="Q23" s="323">
        <f>IFERROR(GETPIVOTDATA("Verdi",#REF!,"Finansieringkildekategori",,"Årstall",#REF!,"Hovednr",805,"Typenr",851,"Felttype",1,"omradenr",VLOOKUP($A8,'1. Instituttoversikt'!$A$4:$E$63,5,FALSE),"Aggnivå",,"PostKildestruktur.Kildenr",7903),0)</f>
        <v>0</v>
      </c>
      <c r="R23" s="323">
        <f>IFERROR(GETPIVOTDATA("Verdi",#REF!,"Finansieringkildekategori",,"Årstall",#REF!,"Hovednr",805,"Typenr",851,"Felttype",2,"omradenr",VLOOKUP($A8,'1. Instituttoversikt'!$A$4:$E$63,5,FALSE),"Aggnivå",,"PostKildestruktur.Kildenr",7903),0)</f>
        <v>0</v>
      </c>
      <c r="S23" s="323"/>
      <c r="T23" s="323">
        <f>IFERROR(GETPIVOTDATA("Verdi",#REF!,"Finansieringkildekategori",,"Årstall",#REF!,"Hovednr",805,"Typenr",851,"Felttype",1,"omradenr",VLOOKUP($A8,'1. Instituttoversikt'!$A$4:$E$63,5,FALSE),"Aggnivå",,"PostKildestruktur.Kildenr",9901),0)</f>
        <v>0</v>
      </c>
      <c r="U23" s="323">
        <f>IFERROR(GETPIVOTDATA("Verdi",#REF!,"Finansieringkildekategori",,"Årstall",#REF!,"Hovednr",805,"Typenr",851,"Felttype",2,"omradenr",VLOOKUP($A8,'1. Instituttoversikt'!$A$4:$E$63,5,FALSE),"Aggnivå",,"PostKildestruktur.Kildenr",9901),0)</f>
        <v>0</v>
      </c>
      <c r="V23" s="323"/>
      <c r="W23" s="323">
        <f t="shared" si="2"/>
        <v>0</v>
      </c>
      <c r="X23" s="323">
        <f t="shared" si="3"/>
        <v>0</v>
      </c>
      <c r="Y23" s="324"/>
    </row>
    <row r="24" spans="1:231" ht="11.25" hidden="1" customHeight="1" x14ac:dyDescent="0.2">
      <c r="A24" s="71" t="e">
        <f>#REF!</f>
        <v>#REF!</v>
      </c>
      <c r="B24" s="323">
        <f>IFERROR(GETPIVOTDATA("Verdi",#REF!,"Finansieringkildekategori",,"Årstall",#REF!,"Hovednr",805,"Typenr",851,"Felttype",1,"omradenr",VLOOKUP($A9,'1. Instituttoversikt'!$A$4:$E$63,5,FALSE),"Aggnivå",,"PostKildestruktur.Kildenr",7901),0)</f>
        <v>0</v>
      </c>
      <c r="C24" s="323">
        <f>IFERROR(GETPIVOTDATA("Verdi",#REF!,"Finansieringkildekategori",,"Årstall",#REF!,"Hovednr",805,"Typenr",851,"Felttype",2,"omradenr",VLOOKUP($A9,'1. Instituttoversikt'!$A$4:$E$63,5,FALSE),"Aggnivå",,"PostKildestruktur.Kildenr",7901),0)</f>
        <v>0</v>
      </c>
      <c r="D24" s="323"/>
      <c r="E24" s="323">
        <f>IFERROR(GETPIVOTDATA("Verdi",#REF!,"Finansieringkildekategori",,"Årstall",#REF!,"Hovednr",805,"Typenr",851,"Felttype",1,"omradenr",VLOOKUP($A9,'1. Instituttoversikt'!$A$4:$E$63,5,FALSE),"Aggnivå",,"PostKildestruktur.Kildenr",7991),0)</f>
        <v>0</v>
      </c>
      <c r="F24" s="323">
        <f>IFERROR(GETPIVOTDATA("Verdi",#REF!,"Finansieringkildekategori",,"Årstall",#REF!,"Hovednr",805,"Typenr",851,"Felttype",2,"omradenr",VLOOKUP($A9,'1. Instituttoversikt'!$A$4:$E$63,5,FALSE),"Aggnivå",,"PostKildestruktur.Kildenr",7991),0)</f>
        <v>0</v>
      </c>
      <c r="G24" s="323"/>
      <c r="H24" s="323">
        <f>IFERROR(GETPIVOTDATA("Verdi",#REF!,"Finansieringkildekategori",,"Årstall",#REF!,"Hovednr",805,"Typenr",851,"Felttype",1,"omradenr",VLOOKUP($A9,'1. Instituttoversikt'!$A$4:$E$63,5,FALSE),"Aggnivå",,"PostKildestruktur.Kildenr",7990),0)</f>
        <v>0</v>
      </c>
      <c r="I24" s="323">
        <f>IFERROR(GETPIVOTDATA("Verdi",#REF!,"Finansieringkildekategori",,"Årstall",#REF!,"Hovednr",805,"Typenr",851,"Felttype",2,"omradenr",VLOOKUP($A9,'1. Instituttoversikt'!$A$4:$E$63,5,FALSE),"Aggnivå",,"PostKildestruktur.Kildenr",7990),0)</f>
        <v>0</v>
      </c>
      <c r="J24" s="323"/>
      <c r="K24" s="323">
        <f>IFERROR(GETPIVOTDATA("Verdi",#REF!,"Finansieringkildekategori",,"Årstall",#REF!,"Hovednr",805,"Typenr",851,"Felttype",1,"omradenr",VLOOKUP($A9,'1. Instituttoversikt'!$A$4:$E$63,5,FALSE),"Aggnivå",,"PostKildestruktur.Kildenr",7162),0)</f>
        <v>0</v>
      </c>
      <c r="L24" s="323">
        <f>IFERROR(GETPIVOTDATA("Verdi",#REF!,"Finansieringkildekategori",,"Årstall",#REF!,"Hovednr",805,"Typenr",851,"Felttype",2,"omradenr",VLOOKUP($A9,'1. Instituttoversikt'!$A$4:$E$63,5,FALSE),"Aggnivå",,"PostKildestruktur.Kildenr",7162),0)</f>
        <v>0</v>
      </c>
      <c r="M24" s="323"/>
      <c r="N24" s="323">
        <f>IFERROR(GETPIVOTDATA("Verdi",#REF!,"Finansieringkildekategori",,"Årstall",#REF!,"Hovednr",805,"Typenr",851,"Felttype",1,"omradenr",VLOOKUP($A9,'1. Instituttoversikt'!$A$4:$E$63,5,FALSE),"Aggnivå",,"PostKildestruktur.Kildenr",7161),0)</f>
        <v>0</v>
      </c>
      <c r="O24" s="323">
        <f>IFERROR(GETPIVOTDATA("Verdi",#REF!,"Finansieringkildekategori",,"Årstall",#REF!,"Hovednr",805,"Typenr",851,"Felttype",2,"omradenr",VLOOKUP($A9,'1. Instituttoversikt'!$A$4:$E$63,5,FALSE),"Aggnivå",,"PostKildestruktur.Kildenr",7161),0)</f>
        <v>0</v>
      </c>
      <c r="P24" s="323"/>
      <c r="Q24" s="323">
        <f>IFERROR(GETPIVOTDATA("Verdi",#REF!,"Finansieringkildekategori",,"Årstall",#REF!,"Hovednr",805,"Typenr",851,"Felttype",1,"omradenr",VLOOKUP($A9,'1. Instituttoversikt'!$A$4:$E$63,5,FALSE),"Aggnivå",,"PostKildestruktur.Kildenr",7903),0)</f>
        <v>0</v>
      </c>
      <c r="R24" s="323">
        <f>IFERROR(GETPIVOTDATA("Verdi",#REF!,"Finansieringkildekategori",,"Årstall",#REF!,"Hovednr",805,"Typenr",851,"Felttype",2,"omradenr",VLOOKUP($A9,'1. Instituttoversikt'!$A$4:$E$63,5,FALSE),"Aggnivå",,"PostKildestruktur.Kildenr",7903),0)</f>
        <v>0</v>
      </c>
      <c r="S24" s="323"/>
      <c r="T24" s="323">
        <f>IFERROR(GETPIVOTDATA("Verdi",#REF!,"Finansieringkildekategori",,"Årstall",#REF!,"Hovednr",805,"Typenr",851,"Felttype",1,"omradenr",VLOOKUP($A9,'1. Instituttoversikt'!$A$4:$E$63,5,FALSE),"Aggnivå",,"PostKildestruktur.Kildenr",9901),0)</f>
        <v>0</v>
      </c>
      <c r="U24" s="323">
        <f>IFERROR(GETPIVOTDATA("Verdi",#REF!,"Finansieringkildekategori",,"Årstall",#REF!,"Hovednr",805,"Typenr",851,"Felttype",2,"omradenr",VLOOKUP($A9,'1. Instituttoversikt'!$A$4:$E$63,5,FALSE),"Aggnivå",,"PostKildestruktur.Kildenr",9901),0)</f>
        <v>0</v>
      </c>
      <c r="V24" s="323"/>
      <c r="W24" s="323">
        <f t="shared" si="2"/>
        <v>0</v>
      </c>
      <c r="X24" s="323">
        <f t="shared" si="3"/>
        <v>0</v>
      </c>
      <c r="Y24" s="324"/>
    </row>
    <row r="25" spans="1:231" ht="11.25" hidden="1" customHeight="1" x14ac:dyDescent="0.2">
      <c r="A25" s="71" t="e">
        <f>#REF!</f>
        <v>#REF!</v>
      </c>
      <c r="B25" s="323">
        <f>IFERROR(GETPIVOTDATA("Verdi",#REF!,"Finansieringkildekategori",,"Årstall",#REF!,"Hovednr",805,"Typenr",851,"Felttype",1,"omradenr",3,"Aggnivå",,"PostKildestruktur.Kildenr",7901),0)</f>
        <v>0</v>
      </c>
      <c r="C25" s="323">
        <f>IFERROR(GETPIVOTDATA("Verdi",#REF!,"Finansieringkildekategori",,"Årstall",#REF!,"Hovednr",805,"Typenr",851,"Felttype",2,"omradenr",3,"Aggnivå",,"PostKildestruktur.Kildenr",7901),0)</f>
        <v>0</v>
      </c>
      <c r="D25" s="323"/>
      <c r="E25" s="323">
        <f>IFERROR(GETPIVOTDATA("Verdi",#REF!,"Finansieringkildekategori",,"Årstall",#REF!,"Hovednr",805,"Typenr",851,"Felttype",1,"omradenr",3,"Aggnivå",,"PostKildestruktur.Kildenr",7991),0)</f>
        <v>0</v>
      </c>
      <c r="F25" s="323">
        <f>IFERROR(GETPIVOTDATA("Verdi",#REF!,"Finansieringkildekategori",,"Årstall",#REF!,"Hovednr",805,"Typenr",851,"Felttype",2,"omradenr",3,"Aggnivå",,"PostKildestruktur.Kildenr",7991),0)</f>
        <v>0</v>
      </c>
      <c r="G25" s="323"/>
      <c r="H25" s="323">
        <f>IFERROR(GETPIVOTDATA("Verdi",#REF!,"Finansieringkildekategori",,"Årstall",#REF!,"Hovednr",805,"Typenr",851,"Felttype",1,"omradenr",3,"Aggnivå",,"PostKildestruktur.Kildenr",7990),0)</f>
        <v>0</v>
      </c>
      <c r="I25" s="323">
        <f>IFERROR(GETPIVOTDATA("Verdi",#REF!,"Finansieringkildekategori",,"Årstall",#REF!,"Hovednr",805,"Typenr",851,"Felttype",2,"omradenr",3,"Aggnivå",,"PostKildestruktur.Kildenr",7990),0)</f>
        <v>0</v>
      </c>
      <c r="J25" s="323"/>
      <c r="K25" s="323">
        <f>IFERROR(GETPIVOTDATA("Verdi",#REF!,"Finansieringkildekategori",,"Årstall",#REF!,"Hovednr",805,"Typenr",851,"Felttype",1,"omradenr",3,"Aggnivå",,"PostKildestruktur.Kildenr",7162),0)</f>
        <v>0</v>
      </c>
      <c r="L25" s="323">
        <f>IFERROR(GETPIVOTDATA("Verdi",#REF!,"Finansieringkildekategori",,"Årstall",#REF!,"Hovednr",805,"Typenr",851,"Felttype",2,"omradenr",3,"Aggnivå",,"PostKildestruktur.Kildenr",7162),0)</f>
        <v>0</v>
      </c>
      <c r="M25" s="323"/>
      <c r="N25" s="323">
        <f>IFERROR(GETPIVOTDATA("Verdi",#REF!,"Finansieringkildekategori",,"Årstall",#REF!,"Hovednr",805,"Typenr",851,"Felttype",1,"omradenr",3,"Aggnivå",,"PostKildestruktur.Kildenr",7161),0)</f>
        <v>0</v>
      </c>
      <c r="O25" s="323">
        <f>IFERROR(GETPIVOTDATA("Verdi",#REF!,"Finansieringkildekategori",,"Årstall",#REF!,"Hovednr",805,"Typenr",851,"Felttype",2,"omradenr",3,"Aggnivå",,"PostKildestruktur.Kildenr",7161),0)</f>
        <v>0</v>
      </c>
      <c r="P25" s="323"/>
      <c r="Q25" s="323">
        <f>IFERROR(GETPIVOTDATA("Verdi",#REF!,"Finansieringkildekategori",,"Årstall",#REF!,"Hovednr",805,"Typenr",851,"Felttype",1,"omradenr",3,"Aggnivå",,"PostKildestruktur.Kildenr",7903),0)</f>
        <v>0</v>
      </c>
      <c r="R25" s="323">
        <f>IFERROR(GETPIVOTDATA("Verdi",#REF!,"Finansieringkildekategori",,"Årstall",#REF!,"Hovednr",805,"Typenr",851,"Felttype",2,"omradenr",3,"Aggnivå",,"PostKildestruktur.Kildenr",7903),0)</f>
        <v>0</v>
      </c>
      <c r="S25" s="323"/>
      <c r="T25" s="323">
        <f>IFERROR(GETPIVOTDATA("Verdi",#REF!,"Finansieringkildekategori",,"Årstall",#REF!,"Hovednr",805,"Typenr",851,"Felttype",1,"omradenr",3,"Aggnivå",,"PostKildestruktur.Kildenr",9901),0)</f>
        <v>0</v>
      </c>
      <c r="U25" s="323">
        <f>IFERROR(GETPIVOTDATA("Verdi",#REF!,"Finansieringkildekategori",,"Årstall",#REF!,"Hovednr",805,"Typenr",851,"Felttype",2,"omradenr",3,"Aggnivå",,"PostKildestruktur.Kildenr",9901),0)</f>
        <v>0</v>
      </c>
      <c r="V25" s="323"/>
      <c r="W25" s="323">
        <f t="shared" si="2"/>
        <v>0</v>
      </c>
      <c r="X25" s="323">
        <f t="shared" si="3"/>
        <v>0</v>
      </c>
      <c r="Y25" s="324"/>
    </row>
    <row r="26" spans="1:231" ht="11.25" hidden="1" customHeight="1" thickBot="1" x14ac:dyDescent="0.25">
      <c r="A26" s="154" t="e">
        <f>#REF!</f>
        <v>#REF!</v>
      </c>
      <c r="B26" s="329">
        <f>SUM(B21:B25)+B20</f>
        <v>5</v>
      </c>
      <c r="C26" s="329">
        <f>SUM(C21:C25)+C20</f>
        <v>17</v>
      </c>
      <c r="D26" s="329"/>
      <c r="E26" s="329">
        <f>SUM(E21:E25)+E20</f>
        <v>12</v>
      </c>
      <c r="F26" s="329">
        <f>SUM(F21:F25)+F20</f>
        <v>50</v>
      </c>
      <c r="G26" s="329"/>
      <c r="H26" s="329">
        <f>SUM(H21:H25)+H20</f>
        <v>6</v>
      </c>
      <c r="I26" s="329">
        <f>SUM(I21:I25)+I20</f>
        <v>40</v>
      </c>
      <c r="J26" s="329"/>
      <c r="K26" s="329">
        <f>SUM(K21:K25)+K20</f>
        <v>9</v>
      </c>
      <c r="L26" s="329">
        <f>SUM(L21:L25)+L20</f>
        <v>40</v>
      </c>
      <c r="M26" s="329"/>
      <c r="N26" s="329">
        <f>SUM(N21:N25)+N20</f>
        <v>1</v>
      </c>
      <c r="O26" s="329">
        <f>SUM(O21:O25)+O20</f>
        <v>6</v>
      </c>
      <c r="P26" s="329"/>
      <c r="Q26" s="329">
        <f>SUM(Q21:Q25)+Q20</f>
        <v>4</v>
      </c>
      <c r="R26" s="329">
        <f>SUM(R21:R25)+R20</f>
        <v>19</v>
      </c>
      <c r="S26" s="329"/>
      <c r="T26" s="329">
        <f>SUM(T21:T25)+T20</f>
        <v>1</v>
      </c>
      <c r="U26" s="329">
        <f>SUM(U21:U25)+U20</f>
        <v>6</v>
      </c>
      <c r="V26" s="329"/>
      <c r="W26" s="329">
        <f t="shared" si="2"/>
        <v>38</v>
      </c>
      <c r="X26" s="329">
        <f t="shared" si="3"/>
        <v>178</v>
      </c>
      <c r="Y26" s="324"/>
    </row>
    <row r="27" spans="1:231" ht="11.25" customHeight="1" x14ac:dyDescent="0.2">
      <c r="A27" s="326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24"/>
    </row>
    <row r="28" spans="1:231" ht="11.25" customHeight="1" x14ac:dyDescent="0.2">
      <c r="A28" s="326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24"/>
    </row>
    <row r="29" spans="1:231" ht="11.25" customHeight="1" x14ac:dyDescent="0.2">
      <c r="A29" s="331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0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31"/>
      <c r="CZ29" s="331"/>
      <c r="DA29" s="331"/>
      <c r="DB29" s="331"/>
      <c r="DC29" s="331"/>
      <c r="DD29" s="331"/>
      <c r="DE29" s="331"/>
      <c r="DF29" s="331"/>
      <c r="DG29" s="331"/>
      <c r="DH29" s="331"/>
      <c r="DI29" s="331"/>
      <c r="DJ29" s="331"/>
      <c r="DK29" s="331"/>
      <c r="DL29" s="331"/>
      <c r="DM29" s="331"/>
      <c r="DN29" s="331"/>
      <c r="DO29" s="331"/>
      <c r="DP29" s="331"/>
      <c r="DQ29" s="331"/>
      <c r="DR29" s="331"/>
      <c r="DS29" s="331"/>
      <c r="DT29" s="331"/>
      <c r="DU29" s="331"/>
      <c r="DV29" s="331"/>
      <c r="DW29" s="331"/>
      <c r="DX29" s="331"/>
      <c r="DY29" s="331"/>
      <c r="DZ29" s="331"/>
      <c r="EA29" s="331"/>
      <c r="EB29" s="331"/>
      <c r="EC29" s="331"/>
      <c r="ED29" s="331"/>
      <c r="EE29" s="331"/>
      <c r="EF29" s="331"/>
      <c r="EG29" s="331"/>
      <c r="EH29" s="331"/>
      <c r="EI29" s="331"/>
      <c r="EJ29" s="331"/>
      <c r="EK29" s="331"/>
      <c r="EL29" s="331"/>
      <c r="EM29" s="331"/>
      <c r="EN29" s="331"/>
      <c r="EO29" s="331"/>
      <c r="EP29" s="331"/>
      <c r="EQ29" s="331"/>
      <c r="ER29" s="331"/>
      <c r="ES29" s="331"/>
      <c r="ET29" s="331"/>
      <c r="EU29" s="331"/>
      <c r="EV29" s="331"/>
      <c r="EW29" s="331"/>
      <c r="EX29" s="331"/>
      <c r="EY29" s="331"/>
      <c r="EZ29" s="331"/>
      <c r="FA29" s="331"/>
      <c r="FB29" s="331"/>
      <c r="FC29" s="331"/>
      <c r="FD29" s="331"/>
      <c r="FE29" s="331"/>
      <c r="FF29" s="331"/>
      <c r="FG29" s="331"/>
      <c r="FH29" s="331"/>
      <c r="FI29" s="331"/>
      <c r="FJ29" s="331"/>
      <c r="FK29" s="331"/>
      <c r="FL29" s="331"/>
      <c r="FM29" s="331"/>
      <c r="FN29" s="331"/>
      <c r="FO29" s="331"/>
      <c r="FP29" s="331"/>
      <c r="FQ29" s="331"/>
      <c r="FR29" s="331"/>
      <c r="FS29" s="331"/>
      <c r="FT29" s="331"/>
      <c r="FU29" s="331"/>
      <c r="FV29" s="331"/>
      <c r="FW29" s="331"/>
      <c r="FX29" s="331"/>
      <c r="FY29" s="331"/>
      <c r="FZ29" s="331"/>
      <c r="GA29" s="331"/>
      <c r="GB29" s="331"/>
      <c r="GC29" s="331"/>
      <c r="GD29" s="331"/>
      <c r="GE29" s="331"/>
      <c r="GF29" s="331"/>
      <c r="GG29" s="331"/>
      <c r="GH29" s="331"/>
      <c r="GI29" s="331"/>
      <c r="GJ29" s="331"/>
      <c r="GK29" s="331"/>
      <c r="GL29" s="331"/>
      <c r="GM29" s="331"/>
      <c r="GN29" s="331"/>
      <c r="GO29" s="331"/>
      <c r="GP29" s="331"/>
      <c r="GQ29" s="331"/>
      <c r="GR29" s="331"/>
      <c r="GS29" s="331"/>
      <c r="GT29" s="331"/>
      <c r="GU29" s="331"/>
      <c r="GV29" s="331"/>
      <c r="GW29" s="331"/>
      <c r="GX29" s="331"/>
      <c r="GY29" s="331"/>
      <c r="GZ29" s="331"/>
      <c r="HA29" s="331"/>
      <c r="HB29" s="331"/>
      <c r="HC29" s="331"/>
      <c r="HD29" s="331"/>
      <c r="HE29" s="331"/>
      <c r="HF29" s="331"/>
      <c r="HG29" s="331"/>
      <c r="HH29" s="331"/>
      <c r="HI29" s="331"/>
      <c r="HJ29" s="331"/>
      <c r="HK29" s="331"/>
      <c r="HL29" s="331"/>
      <c r="HM29" s="331"/>
      <c r="HN29" s="331"/>
      <c r="HO29" s="331"/>
      <c r="HP29" s="331"/>
      <c r="HQ29" s="331"/>
      <c r="HR29" s="331"/>
      <c r="HS29" s="331"/>
      <c r="HT29" s="331"/>
      <c r="HU29" s="331"/>
      <c r="HV29" s="331"/>
      <c r="HW29" s="331"/>
    </row>
    <row r="30" spans="1:231" ht="11.25" customHeight="1" x14ac:dyDescent="0.2"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</row>
    <row r="31" spans="1:231" ht="11.25" customHeight="1" x14ac:dyDescent="0.2"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</row>
    <row r="32" spans="1:231" ht="11.25" customHeight="1" x14ac:dyDescent="0.2"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</row>
    <row r="33" spans="1:232" ht="11.25" customHeight="1" x14ac:dyDescent="0.2">
      <c r="A33" s="326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</row>
    <row r="34" spans="1:232" ht="11.25" customHeight="1" x14ac:dyDescent="0.2">
      <c r="A34" s="326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</row>
    <row r="35" spans="1:232" ht="11.25" customHeight="1" x14ac:dyDescent="0.2"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4"/>
      <c r="Y35" s="324"/>
    </row>
    <row r="36" spans="1:232" ht="11.25" customHeight="1" x14ac:dyDescent="0.2"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</row>
    <row r="37" spans="1:232" ht="11.25" customHeight="1" x14ac:dyDescent="0.2"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</row>
    <row r="38" spans="1:232" ht="11.25" customHeight="1" x14ac:dyDescent="0.2"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</row>
    <row r="39" spans="1:232" ht="11.25" customHeight="1" x14ac:dyDescent="0.2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333"/>
      <c r="AU39" s="333"/>
      <c r="AV39" s="333"/>
      <c r="AW39" s="333"/>
      <c r="AX39" s="333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  <c r="DQ39" s="333"/>
      <c r="DR39" s="333"/>
      <c r="DS39" s="333"/>
      <c r="DT39" s="333"/>
      <c r="DU39" s="333"/>
      <c r="DV39" s="333"/>
      <c r="DW39" s="333"/>
      <c r="DX39" s="333"/>
      <c r="DY39" s="333"/>
      <c r="DZ39" s="333"/>
      <c r="EA39" s="333"/>
      <c r="EB39" s="333"/>
      <c r="EC39" s="333"/>
      <c r="ED39" s="333"/>
      <c r="EE39" s="333"/>
      <c r="EF39" s="333"/>
      <c r="EG39" s="333"/>
      <c r="EH39" s="333"/>
      <c r="EI39" s="333"/>
      <c r="EJ39" s="333"/>
      <c r="EK39" s="333"/>
      <c r="EL39" s="333"/>
      <c r="EM39" s="333"/>
      <c r="EN39" s="333"/>
      <c r="EO39" s="333"/>
      <c r="EP39" s="333"/>
      <c r="EQ39" s="333"/>
      <c r="ER39" s="333"/>
      <c r="ES39" s="333"/>
      <c r="ET39" s="333"/>
      <c r="EU39" s="333"/>
      <c r="EV39" s="333"/>
      <c r="EW39" s="333"/>
      <c r="EX39" s="333"/>
      <c r="EY39" s="333"/>
      <c r="EZ39" s="333"/>
      <c r="FA39" s="333"/>
      <c r="FB39" s="333"/>
      <c r="FC39" s="333"/>
      <c r="FD39" s="333"/>
      <c r="FE39" s="333"/>
      <c r="FF39" s="333"/>
      <c r="FG39" s="333"/>
      <c r="FH39" s="333"/>
      <c r="FI39" s="333"/>
      <c r="FJ39" s="333"/>
      <c r="FK39" s="333"/>
      <c r="FL39" s="333"/>
      <c r="FM39" s="333"/>
      <c r="FN39" s="333"/>
      <c r="FO39" s="333"/>
      <c r="FP39" s="333"/>
      <c r="FQ39" s="333"/>
      <c r="FR39" s="333"/>
      <c r="FS39" s="333"/>
      <c r="FT39" s="333"/>
      <c r="FU39" s="333"/>
      <c r="FV39" s="333"/>
      <c r="FW39" s="333"/>
      <c r="FX39" s="333"/>
      <c r="FY39" s="333"/>
      <c r="FZ39" s="333"/>
      <c r="GA39" s="333"/>
      <c r="GB39" s="333"/>
      <c r="GC39" s="333"/>
      <c r="GD39" s="333"/>
      <c r="GE39" s="333"/>
      <c r="GF39" s="333"/>
      <c r="GG39" s="333"/>
      <c r="GH39" s="333"/>
      <c r="GI39" s="333"/>
      <c r="GJ39" s="333"/>
      <c r="GK39" s="333"/>
      <c r="GL39" s="333"/>
      <c r="GM39" s="333"/>
      <c r="GN39" s="333"/>
      <c r="GO39" s="333"/>
      <c r="GP39" s="333"/>
      <c r="GQ39" s="333"/>
      <c r="GR39" s="333"/>
      <c r="GS39" s="333"/>
      <c r="GT39" s="333"/>
      <c r="GU39" s="333"/>
      <c r="GV39" s="333"/>
      <c r="GW39" s="333"/>
      <c r="GX39" s="333"/>
      <c r="GY39" s="333"/>
      <c r="GZ39" s="333"/>
      <c r="HA39" s="333"/>
      <c r="HB39" s="333"/>
      <c r="HC39" s="333"/>
      <c r="HD39" s="333"/>
      <c r="HE39" s="333"/>
      <c r="HF39" s="333"/>
      <c r="HG39" s="333"/>
      <c r="HH39" s="333"/>
      <c r="HI39" s="333"/>
      <c r="HJ39" s="333"/>
      <c r="HK39" s="333"/>
      <c r="HL39" s="333"/>
      <c r="HM39" s="333"/>
      <c r="HN39" s="333"/>
      <c r="HO39" s="333"/>
      <c r="HP39" s="333"/>
      <c r="HQ39" s="333"/>
      <c r="HR39" s="333"/>
      <c r="HS39" s="333"/>
      <c r="HT39" s="333"/>
      <c r="HU39" s="333"/>
      <c r="HV39" s="333"/>
      <c r="HW39" s="333"/>
      <c r="HX39" s="333"/>
    </row>
    <row r="40" spans="1:232" ht="11.25" customHeight="1" x14ac:dyDescent="0.2">
      <c r="N40" s="322"/>
      <c r="O40" s="322"/>
      <c r="P40" s="322"/>
      <c r="Q40" s="322"/>
      <c r="R40" s="322"/>
      <c r="S40" s="322"/>
      <c r="T40" s="322"/>
      <c r="U40" s="322"/>
    </row>
    <row r="41" spans="1:232" ht="11.25" customHeight="1" x14ac:dyDescent="0.2">
      <c r="N41" s="322"/>
      <c r="O41" s="322"/>
      <c r="P41" s="322"/>
      <c r="Q41" s="322"/>
      <c r="R41" s="322"/>
      <c r="S41" s="322"/>
      <c r="T41" s="322"/>
      <c r="U41" s="322"/>
    </row>
    <row r="42" spans="1:232" ht="11.25" customHeight="1" x14ac:dyDescent="0.2">
      <c r="N42" s="322"/>
      <c r="O42" s="322"/>
      <c r="P42" s="322"/>
      <c r="Q42" s="322"/>
      <c r="R42" s="322"/>
      <c r="S42" s="322"/>
      <c r="T42" s="322"/>
      <c r="U42" s="322"/>
    </row>
    <row r="43" spans="1:232" ht="11.25" customHeight="1" x14ac:dyDescent="0.2">
      <c r="N43" s="322"/>
      <c r="O43" s="322"/>
      <c r="P43" s="322"/>
      <c r="Q43" s="322"/>
      <c r="R43" s="322"/>
      <c r="S43" s="322"/>
      <c r="T43" s="322"/>
      <c r="U43" s="322"/>
    </row>
    <row r="44" spans="1:232" ht="11.25" customHeight="1" x14ac:dyDescent="0.2">
      <c r="N44" s="322"/>
      <c r="O44" s="322"/>
      <c r="P44" s="322"/>
      <c r="Q44" s="322"/>
      <c r="R44" s="322"/>
      <c r="S44" s="322"/>
      <c r="T44" s="322"/>
      <c r="U44" s="322"/>
    </row>
    <row r="45" spans="1:232" ht="11.25" customHeight="1" x14ac:dyDescent="0.2">
      <c r="N45" s="322"/>
      <c r="O45" s="322"/>
      <c r="P45" s="322"/>
      <c r="Q45" s="322"/>
      <c r="R45" s="322"/>
      <c r="S45" s="322"/>
      <c r="T45" s="322"/>
      <c r="U45" s="322"/>
    </row>
    <row r="46" spans="1:232" ht="11.25" customHeight="1" x14ac:dyDescent="0.2">
      <c r="A46" s="331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1"/>
      <c r="DJ46" s="331"/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31"/>
      <c r="ED46" s="331"/>
      <c r="EE46" s="331"/>
      <c r="EF46" s="331"/>
      <c r="EG46" s="331"/>
      <c r="EH46" s="331"/>
      <c r="EI46" s="331"/>
      <c r="EJ46" s="331"/>
      <c r="EK46" s="331"/>
      <c r="EL46" s="331"/>
      <c r="EM46" s="331"/>
      <c r="EN46" s="331"/>
      <c r="EO46" s="331"/>
      <c r="EP46" s="331"/>
      <c r="EQ46" s="331"/>
      <c r="ER46" s="331"/>
      <c r="ES46" s="331"/>
      <c r="ET46" s="331"/>
      <c r="EU46" s="331"/>
      <c r="EV46" s="331"/>
      <c r="EW46" s="331"/>
      <c r="EX46" s="331"/>
      <c r="EY46" s="331"/>
      <c r="EZ46" s="331"/>
      <c r="FA46" s="331"/>
      <c r="FB46" s="331"/>
      <c r="FC46" s="331"/>
      <c r="FD46" s="331"/>
      <c r="FE46" s="331"/>
      <c r="FF46" s="331"/>
      <c r="FG46" s="331"/>
      <c r="FH46" s="331"/>
      <c r="FI46" s="331"/>
      <c r="FJ46" s="331"/>
      <c r="FK46" s="331"/>
      <c r="FL46" s="331"/>
      <c r="FM46" s="331"/>
      <c r="FN46" s="331"/>
      <c r="FO46" s="331"/>
      <c r="FP46" s="331"/>
      <c r="FQ46" s="331"/>
      <c r="FR46" s="331"/>
      <c r="FS46" s="331"/>
      <c r="FT46" s="331"/>
      <c r="FU46" s="331"/>
      <c r="FV46" s="331"/>
      <c r="FW46" s="331"/>
      <c r="FX46" s="331"/>
      <c r="FY46" s="331"/>
      <c r="FZ46" s="331"/>
      <c r="GA46" s="331"/>
      <c r="GB46" s="331"/>
      <c r="GC46" s="331"/>
      <c r="GD46" s="331"/>
      <c r="GE46" s="331"/>
      <c r="GF46" s="331"/>
      <c r="GG46" s="331"/>
      <c r="GH46" s="331"/>
      <c r="GI46" s="331"/>
      <c r="GJ46" s="331"/>
      <c r="GK46" s="331"/>
      <c r="GL46" s="331"/>
      <c r="GM46" s="331"/>
      <c r="GN46" s="331"/>
      <c r="GO46" s="331"/>
      <c r="GP46" s="331"/>
      <c r="GQ46" s="331"/>
      <c r="GR46" s="331"/>
      <c r="GS46" s="331"/>
      <c r="GT46" s="331"/>
      <c r="GU46" s="331"/>
      <c r="GV46" s="331"/>
      <c r="GW46" s="331"/>
      <c r="GX46" s="331"/>
      <c r="GY46" s="331"/>
      <c r="GZ46" s="331"/>
      <c r="HA46" s="331"/>
      <c r="HB46" s="331"/>
      <c r="HC46" s="331"/>
      <c r="HD46" s="331"/>
      <c r="HE46" s="331"/>
      <c r="HF46" s="331"/>
      <c r="HG46" s="331"/>
      <c r="HH46" s="331"/>
      <c r="HI46" s="331"/>
      <c r="HJ46" s="331"/>
      <c r="HK46" s="331"/>
      <c r="HL46" s="331"/>
      <c r="HM46" s="331"/>
      <c r="HN46" s="331"/>
      <c r="HO46" s="331"/>
      <c r="HP46" s="331"/>
      <c r="HQ46" s="331"/>
      <c r="HR46" s="331"/>
      <c r="HS46" s="331"/>
      <c r="HT46" s="331"/>
      <c r="HU46" s="331"/>
      <c r="HV46" s="331"/>
      <c r="HW46" s="331"/>
      <c r="HX46" s="331"/>
    </row>
    <row r="47" spans="1:232" ht="11.25" customHeight="1" x14ac:dyDescent="0.2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4"/>
      <c r="BR47" s="334"/>
      <c r="BS47" s="334"/>
      <c r="BT47" s="334"/>
      <c r="BU47" s="334"/>
      <c r="BV47" s="334"/>
      <c r="BW47" s="334"/>
      <c r="BX47" s="334"/>
      <c r="BY47" s="334"/>
      <c r="BZ47" s="334"/>
      <c r="CA47" s="334"/>
      <c r="CB47" s="334"/>
      <c r="CC47" s="334"/>
      <c r="CD47" s="334"/>
      <c r="CE47" s="334"/>
      <c r="CF47" s="334"/>
      <c r="CG47" s="334"/>
      <c r="CH47" s="334"/>
      <c r="CI47" s="334"/>
      <c r="CJ47" s="334"/>
      <c r="CK47" s="334"/>
      <c r="CL47" s="334"/>
      <c r="CM47" s="334"/>
      <c r="CN47" s="334"/>
      <c r="CO47" s="334"/>
      <c r="CP47" s="334"/>
      <c r="CQ47" s="334"/>
      <c r="CR47" s="334"/>
      <c r="CS47" s="334"/>
      <c r="CT47" s="334"/>
      <c r="CU47" s="334"/>
      <c r="CV47" s="334"/>
      <c r="CW47" s="334"/>
      <c r="CX47" s="334"/>
      <c r="CY47" s="334"/>
      <c r="CZ47" s="334"/>
      <c r="DA47" s="334"/>
      <c r="DB47" s="334"/>
      <c r="DC47" s="334"/>
      <c r="DD47" s="334"/>
      <c r="DE47" s="334"/>
      <c r="DF47" s="334"/>
      <c r="DG47" s="334"/>
      <c r="DH47" s="334"/>
      <c r="DI47" s="334"/>
      <c r="DJ47" s="334"/>
      <c r="DK47" s="334"/>
      <c r="DL47" s="334"/>
      <c r="DM47" s="334"/>
      <c r="DN47" s="334"/>
      <c r="DO47" s="334"/>
      <c r="DP47" s="334"/>
      <c r="DQ47" s="334"/>
      <c r="DR47" s="334"/>
      <c r="DS47" s="334"/>
      <c r="DT47" s="334"/>
      <c r="DU47" s="334"/>
      <c r="DV47" s="334"/>
      <c r="DW47" s="334"/>
      <c r="DX47" s="334"/>
      <c r="DY47" s="334"/>
      <c r="DZ47" s="334"/>
      <c r="EA47" s="334"/>
      <c r="EB47" s="334"/>
      <c r="EC47" s="334"/>
      <c r="ED47" s="334"/>
      <c r="EE47" s="334"/>
      <c r="EF47" s="334"/>
      <c r="EG47" s="334"/>
      <c r="EH47" s="334"/>
      <c r="EI47" s="334"/>
      <c r="EJ47" s="334"/>
      <c r="EK47" s="334"/>
      <c r="EL47" s="334"/>
      <c r="EM47" s="334"/>
      <c r="EN47" s="334"/>
      <c r="EO47" s="334"/>
      <c r="EP47" s="334"/>
      <c r="EQ47" s="334"/>
      <c r="ER47" s="334"/>
      <c r="ES47" s="334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34"/>
      <c r="FE47" s="334"/>
      <c r="FF47" s="334"/>
      <c r="FG47" s="334"/>
      <c r="FH47" s="334"/>
      <c r="FI47" s="334"/>
      <c r="FJ47" s="334"/>
      <c r="FK47" s="334"/>
      <c r="FL47" s="334"/>
      <c r="FM47" s="334"/>
      <c r="FN47" s="334"/>
      <c r="FO47" s="334"/>
      <c r="FP47" s="334"/>
      <c r="FQ47" s="334"/>
      <c r="FR47" s="334"/>
      <c r="FS47" s="334"/>
      <c r="FT47" s="334"/>
      <c r="FU47" s="334"/>
      <c r="FV47" s="334"/>
      <c r="FW47" s="334"/>
      <c r="FX47" s="334"/>
      <c r="FY47" s="334"/>
      <c r="FZ47" s="334"/>
      <c r="GA47" s="334"/>
      <c r="GB47" s="334"/>
      <c r="GC47" s="334"/>
      <c r="GD47" s="334"/>
      <c r="GE47" s="334"/>
      <c r="GF47" s="334"/>
      <c r="GG47" s="334"/>
      <c r="GH47" s="334"/>
      <c r="GI47" s="334"/>
      <c r="GJ47" s="334"/>
      <c r="GK47" s="334"/>
      <c r="GL47" s="334"/>
      <c r="GM47" s="334"/>
      <c r="GN47" s="334"/>
      <c r="GO47" s="334"/>
      <c r="GP47" s="334"/>
      <c r="GQ47" s="334"/>
      <c r="GR47" s="334"/>
      <c r="GS47" s="334"/>
      <c r="GT47" s="334"/>
      <c r="GU47" s="334"/>
      <c r="GV47" s="334"/>
      <c r="GW47" s="334"/>
      <c r="GX47" s="334"/>
      <c r="GY47" s="334"/>
      <c r="GZ47" s="334"/>
      <c r="HA47" s="334"/>
      <c r="HB47" s="334"/>
      <c r="HC47" s="334"/>
      <c r="HD47" s="334"/>
      <c r="HE47" s="334"/>
      <c r="HF47" s="334"/>
      <c r="HG47" s="334"/>
      <c r="HH47" s="334"/>
      <c r="HI47" s="334"/>
      <c r="HJ47" s="334"/>
      <c r="HK47" s="334"/>
      <c r="HL47" s="334"/>
      <c r="HM47" s="334"/>
      <c r="HN47" s="334"/>
      <c r="HO47" s="334"/>
      <c r="HP47" s="334"/>
      <c r="HQ47" s="334"/>
      <c r="HR47" s="334"/>
      <c r="HS47" s="334"/>
      <c r="HT47" s="334"/>
      <c r="HU47" s="334"/>
      <c r="HV47" s="334"/>
      <c r="HW47" s="334"/>
      <c r="HX47" s="334"/>
    </row>
    <row r="48" spans="1:232" ht="11.25" customHeight="1" x14ac:dyDescent="0.2">
      <c r="N48" s="322"/>
      <c r="O48" s="322"/>
      <c r="P48" s="322"/>
      <c r="Q48" s="322"/>
      <c r="R48" s="322"/>
      <c r="S48" s="322"/>
      <c r="T48" s="322"/>
      <c r="U48" s="322"/>
    </row>
    <row r="49" spans="1:232" ht="11.25" customHeight="1" x14ac:dyDescent="0.2">
      <c r="N49" s="322"/>
      <c r="O49" s="322"/>
      <c r="P49" s="322"/>
      <c r="Q49" s="322"/>
      <c r="R49" s="322"/>
      <c r="S49" s="322"/>
      <c r="T49" s="322"/>
      <c r="U49" s="322"/>
    </row>
    <row r="50" spans="1:232" ht="11.25" customHeight="1" x14ac:dyDescent="0.2">
      <c r="N50" s="322"/>
      <c r="O50" s="322"/>
      <c r="P50" s="322"/>
      <c r="Q50" s="322"/>
      <c r="R50" s="322"/>
      <c r="S50" s="322"/>
      <c r="T50" s="322"/>
      <c r="U50" s="322"/>
    </row>
    <row r="51" spans="1:232" ht="11.25" customHeight="1" x14ac:dyDescent="0.2">
      <c r="A51" s="331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31"/>
      <c r="CZ51" s="331"/>
      <c r="DA51" s="331"/>
      <c r="DB51" s="331"/>
      <c r="DC51" s="331"/>
      <c r="DD51" s="331"/>
      <c r="DE51" s="331"/>
      <c r="DF51" s="331"/>
      <c r="DG51" s="331"/>
      <c r="DH51" s="331"/>
      <c r="DI51" s="331"/>
      <c r="DJ51" s="331"/>
      <c r="DK51" s="331"/>
      <c r="DL51" s="331"/>
      <c r="DM51" s="331"/>
      <c r="DN51" s="331"/>
      <c r="DO51" s="331"/>
      <c r="DP51" s="331"/>
      <c r="DQ51" s="331"/>
      <c r="DR51" s="331"/>
      <c r="DS51" s="331"/>
      <c r="DT51" s="331"/>
      <c r="DU51" s="331"/>
      <c r="DV51" s="331"/>
      <c r="DW51" s="331"/>
      <c r="DX51" s="331"/>
      <c r="DY51" s="331"/>
      <c r="DZ51" s="331"/>
      <c r="EA51" s="331"/>
      <c r="EB51" s="331"/>
      <c r="EC51" s="331"/>
      <c r="ED51" s="331"/>
      <c r="EE51" s="331"/>
      <c r="EF51" s="331"/>
      <c r="EG51" s="331"/>
      <c r="EH51" s="331"/>
      <c r="EI51" s="331"/>
      <c r="EJ51" s="331"/>
      <c r="EK51" s="331"/>
      <c r="EL51" s="331"/>
      <c r="EM51" s="331"/>
      <c r="EN51" s="331"/>
      <c r="EO51" s="331"/>
      <c r="EP51" s="331"/>
      <c r="EQ51" s="331"/>
      <c r="ER51" s="331"/>
      <c r="ES51" s="331"/>
      <c r="ET51" s="331"/>
      <c r="EU51" s="331"/>
      <c r="EV51" s="331"/>
      <c r="EW51" s="331"/>
      <c r="EX51" s="331"/>
      <c r="EY51" s="331"/>
      <c r="EZ51" s="331"/>
      <c r="FA51" s="331"/>
      <c r="FB51" s="331"/>
      <c r="FC51" s="331"/>
      <c r="FD51" s="331"/>
      <c r="FE51" s="331"/>
      <c r="FF51" s="331"/>
      <c r="FG51" s="331"/>
      <c r="FH51" s="331"/>
      <c r="FI51" s="331"/>
      <c r="FJ51" s="331"/>
      <c r="FK51" s="331"/>
      <c r="FL51" s="331"/>
      <c r="FM51" s="331"/>
      <c r="FN51" s="331"/>
      <c r="FO51" s="331"/>
      <c r="FP51" s="331"/>
      <c r="FQ51" s="331"/>
      <c r="FR51" s="331"/>
      <c r="FS51" s="331"/>
      <c r="FT51" s="331"/>
      <c r="FU51" s="331"/>
      <c r="FV51" s="331"/>
      <c r="FW51" s="331"/>
      <c r="FX51" s="331"/>
      <c r="FY51" s="331"/>
      <c r="FZ51" s="331"/>
      <c r="GA51" s="331"/>
      <c r="GB51" s="331"/>
      <c r="GC51" s="331"/>
      <c r="GD51" s="331"/>
      <c r="GE51" s="331"/>
      <c r="GF51" s="331"/>
      <c r="GG51" s="331"/>
      <c r="GH51" s="331"/>
      <c r="GI51" s="331"/>
      <c r="GJ51" s="331"/>
      <c r="GK51" s="331"/>
      <c r="GL51" s="331"/>
      <c r="GM51" s="331"/>
      <c r="GN51" s="331"/>
      <c r="GO51" s="331"/>
      <c r="GP51" s="331"/>
      <c r="GQ51" s="331"/>
      <c r="GR51" s="331"/>
      <c r="GS51" s="331"/>
      <c r="GT51" s="331"/>
      <c r="GU51" s="331"/>
      <c r="GV51" s="331"/>
      <c r="GW51" s="331"/>
      <c r="GX51" s="331"/>
      <c r="GY51" s="331"/>
      <c r="GZ51" s="331"/>
      <c r="HA51" s="331"/>
      <c r="HB51" s="331"/>
      <c r="HC51" s="331"/>
      <c r="HD51" s="331"/>
      <c r="HE51" s="331"/>
      <c r="HF51" s="331"/>
      <c r="HG51" s="331"/>
      <c r="HH51" s="331"/>
      <c r="HI51" s="331"/>
      <c r="HJ51" s="331"/>
      <c r="HK51" s="331"/>
      <c r="HL51" s="331"/>
      <c r="HM51" s="331"/>
      <c r="HN51" s="331"/>
      <c r="HO51" s="331"/>
      <c r="HP51" s="331"/>
      <c r="HQ51" s="331"/>
      <c r="HR51" s="331"/>
      <c r="HS51" s="331"/>
      <c r="HT51" s="331"/>
      <c r="HU51" s="331"/>
      <c r="HV51" s="331"/>
      <c r="HW51" s="331"/>
      <c r="HX51" s="331"/>
    </row>
    <row r="52" spans="1:232" ht="11.25" customHeight="1" x14ac:dyDescent="0.2">
      <c r="N52" s="322"/>
      <c r="O52" s="322"/>
      <c r="P52" s="322"/>
      <c r="Q52" s="322"/>
      <c r="R52" s="322"/>
      <c r="S52" s="322"/>
      <c r="T52" s="322"/>
      <c r="U52" s="322"/>
    </row>
    <row r="53" spans="1:232" ht="11.25" customHeight="1" x14ac:dyDescent="0.2">
      <c r="N53" s="322"/>
      <c r="O53" s="322"/>
      <c r="P53" s="322"/>
      <c r="Q53" s="322"/>
      <c r="R53" s="322"/>
      <c r="S53" s="322"/>
      <c r="T53" s="322"/>
      <c r="U53" s="322"/>
    </row>
    <row r="54" spans="1:232" ht="11.25" customHeight="1" x14ac:dyDescent="0.2">
      <c r="N54" s="322"/>
      <c r="O54" s="322"/>
      <c r="P54" s="322"/>
      <c r="Q54" s="322"/>
      <c r="R54" s="322"/>
      <c r="S54" s="322"/>
      <c r="T54" s="322"/>
      <c r="U54" s="322"/>
    </row>
    <row r="55" spans="1:232" ht="11.25" customHeight="1" x14ac:dyDescent="0.2">
      <c r="N55" s="322"/>
      <c r="O55" s="322"/>
      <c r="P55" s="322"/>
      <c r="Q55" s="322"/>
      <c r="R55" s="322"/>
      <c r="S55" s="322"/>
      <c r="T55" s="322"/>
      <c r="U55" s="322"/>
    </row>
    <row r="56" spans="1:232" ht="11.25" customHeight="1" x14ac:dyDescent="0.2">
      <c r="N56" s="322"/>
      <c r="O56" s="322"/>
      <c r="P56" s="322"/>
      <c r="Q56" s="322"/>
      <c r="R56" s="322"/>
      <c r="S56" s="322"/>
      <c r="T56" s="322"/>
      <c r="U56" s="322"/>
    </row>
    <row r="57" spans="1:232" ht="11.25" customHeight="1" x14ac:dyDescent="0.2">
      <c r="A57" s="335"/>
      <c r="N57" s="322"/>
      <c r="O57" s="322"/>
      <c r="P57" s="322"/>
      <c r="Q57" s="322"/>
      <c r="R57" s="322"/>
      <c r="S57" s="322"/>
      <c r="T57" s="322"/>
      <c r="U57" s="322"/>
    </row>
    <row r="58" spans="1:232" ht="11.25" customHeight="1" x14ac:dyDescent="0.2">
      <c r="A58" s="335"/>
      <c r="N58" s="322"/>
      <c r="O58" s="322"/>
      <c r="P58" s="322"/>
      <c r="Q58" s="322"/>
      <c r="R58" s="322"/>
      <c r="S58" s="322"/>
      <c r="T58" s="322"/>
      <c r="U58" s="322"/>
    </row>
    <row r="59" spans="1:232" ht="11.25" customHeight="1" x14ac:dyDescent="0.2">
      <c r="N59" s="322"/>
      <c r="O59" s="322"/>
      <c r="P59" s="322"/>
      <c r="Q59" s="322"/>
      <c r="R59" s="322"/>
      <c r="S59" s="322"/>
      <c r="T59" s="322"/>
      <c r="U59" s="322"/>
    </row>
    <row r="60" spans="1:232" ht="11.25" customHeight="1" x14ac:dyDescent="0.2">
      <c r="N60" s="322"/>
      <c r="O60" s="322"/>
      <c r="P60" s="322"/>
      <c r="Q60" s="322"/>
      <c r="R60" s="322"/>
      <c r="S60" s="322"/>
      <c r="T60" s="322"/>
      <c r="U60" s="322"/>
    </row>
    <row r="61" spans="1:232" ht="11.25" customHeight="1" x14ac:dyDescent="0.2">
      <c r="N61" s="322"/>
      <c r="O61" s="322"/>
      <c r="P61" s="322"/>
      <c r="Q61" s="322"/>
      <c r="R61" s="322"/>
      <c r="S61" s="322"/>
      <c r="T61" s="322"/>
      <c r="U61" s="322"/>
    </row>
    <row r="62" spans="1:232" ht="11.25" customHeight="1" x14ac:dyDescent="0.2">
      <c r="N62" s="322"/>
      <c r="O62" s="322"/>
      <c r="P62" s="322"/>
      <c r="Q62" s="322"/>
      <c r="R62" s="322"/>
      <c r="S62" s="322"/>
      <c r="T62" s="322"/>
      <c r="U62" s="322"/>
    </row>
    <row r="63" spans="1:232" ht="11.25" customHeight="1" x14ac:dyDescent="0.2">
      <c r="N63" s="322"/>
      <c r="O63" s="322"/>
      <c r="P63" s="322"/>
      <c r="Q63" s="322"/>
      <c r="R63" s="322"/>
      <c r="S63" s="322"/>
      <c r="T63" s="322"/>
      <c r="U63" s="322"/>
    </row>
    <row r="64" spans="1:232" ht="11.25" customHeight="1" x14ac:dyDescent="0.2">
      <c r="N64" s="322"/>
      <c r="O64" s="322"/>
      <c r="P64" s="322"/>
      <c r="Q64" s="322"/>
      <c r="R64" s="322"/>
      <c r="S64" s="322"/>
      <c r="T64" s="322"/>
      <c r="U64" s="322"/>
    </row>
    <row r="65" s="322" customFormat="1" ht="11.25" customHeight="1" x14ac:dyDescent="0.2"/>
    <row r="66" s="322" customFormat="1" ht="11.25" customHeight="1" x14ac:dyDescent="0.2"/>
    <row r="67" s="322" customFormat="1" ht="11.25" customHeight="1" x14ac:dyDescent="0.2"/>
    <row r="68" s="322" customFormat="1" ht="11.25" customHeight="1" x14ac:dyDescent="0.2"/>
    <row r="69" s="322" customFormat="1" ht="11.25" customHeight="1" x14ac:dyDescent="0.2"/>
    <row r="70" s="322" customFormat="1" ht="11.25" customHeight="1" x14ac:dyDescent="0.2"/>
    <row r="71" s="322" customFormat="1" ht="11.25" customHeight="1" x14ac:dyDescent="0.2"/>
    <row r="72" s="322" customFormat="1" ht="11.25" customHeight="1" x14ac:dyDescent="0.2"/>
    <row r="73" s="322" customFormat="1" ht="11.25" customHeight="1" x14ac:dyDescent="0.2"/>
    <row r="74" s="322" customFormat="1" ht="11.25" customHeight="1" x14ac:dyDescent="0.2"/>
    <row r="75" s="322" customFormat="1" ht="11.25" customHeight="1" x14ac:dyDescent="0.2"/>
    <row r="76" s="322" customFormat="1" ht="11.25" customHeight="1" x14ac:dyDescent="0.2"/>
    <row r="77" s="322" customFormat="1" ht="11.25" customHeight="1" x14ac:dyDescent="0.2"/>
    <row r="78" s="322" customFormat="1" ht="11.25" customHeight="1" x14ac:dyDescent="0.2"/>
    <row r="79" s="322" customFormat="1" ht="11.25" customHeight="1" x14ac:dyDescent="0.2"/>
    <row r="80" s="322" customFormat="1" ht="11.25" customHeight="1" x14ac:dyDescent="0.2"/>
    <row r="81" spans="1:21" ht="11.25" customHeight="1" x14ac:dyDescent="0.2">
      <c r="N81" s="322"/>
      <c r="O81" s="322"/>
      <c r="P81" s="322"/>
      <c r="Q81" s="322"/>
      <c r="R81" s="322"/>
      <c r="S81" s="322"/>
      <c r="T81" s="322"/>
      <c r="U81" s="322"/>
    </row>
    <row r="82" spans="1:21" ht="11.25" customHeight="1" x14ac:dyDescent="0.2">
      <c r="N82" s="322"/>
      <c r="O82" s="322"/>
      <c r="P82" s="322"/>
      <c r="Q82" s="322"/>
      <c r="R82" s="322"/>
      <c r="S82" s="322"/>
      <c r="T82" s="322"/>
      <c r="U82" s="322"/>
    </row>
    <row r="83" spans="1:21" ht="11.25" customHeight="1" x14ac:dyDescent="0.2">
      <c r="N83" s="322"/>
      <c r="O83" s="322"/>
      <c r="P83" s="322"/>
      <c r="Q83" s="322"/>
      <c r="R83" s="322"/>
      <c r="S83" s="322"/>
      <c r="T83" s="322"/>
      <c r="U83" s="322"/>
    </row>
    <row r="84" spans="1:21" ht="11.25" customHeight="1" x14ac:dyDescent="0.2">
      <c r="N84" s="322"/>
      <c r="O84" s="322"/>
      <c r="P84" s="322"/>
      <c r="Q84" s="322"/>
      <c r="R84" s="322"/>
      <c r="S84" s="322"/>
      <c r="T84" s="322"/>
      <c r="U84" s="322"/>
    </row>
    <row r="85" spans="1:21" ht="11.25" customHeight="1" x14ac:dyDescent="0.2">
      <c r="N85" s="322"/>
      <c r="O85" s="322"/>
      <c r="P85" s="322"/>
      <c r="Q85" s="322"/>
      <c r="R85" s="322"/>
      <c r="S85" s="322"/>
      <c r="T85" s="322"/>
      <c r="U85" s="322"/>
    </row>
    <row r="86" spans="1:21" ht="11.25" customHeight="1" x14ac:dyDescent="0.2">
      <c r="N86" s="322"/>
      <c r="O86" s="322"/>
      <c r="P86" s="322"/>
      <c r="Q86" s="322"/>
      <c r="R86" s="322"/>
      <c r="S86" s="322"/>
      <c r="T86" s="322"/>
      <c r="U86" s="322"/>
    </row>
    <row r="87" spans="1:21" ht="11.25" customHeight="1" x14ac:dyDescent="0.2">
      <c r="N87" s="322"/>
      <c r="O87" s="322"/>
      <c r="P87" s="322"/>
      <c r="Q87" s="322"/>
      <c r="R87" s="322"/>
      <c r="S87" s="322"/>
      <c r="T87" s="322"/>
      <c r="U87" s="322"/>
    </row>
    <row r="88" spans="1:21" ht="11.25" customHeight="1" x14ac:dyDescent="0.2">
      <c r="N88" s="322"/>
      <c r="O88" s="322"/>
      <c r="P88" s="322"/>
      <c r="Q88" s="322"/>
      <c r="R88" s="322"/>
      <c r="S88" s="322"/>
      <c r="T88" s="322"/>
      <c r="U88" s="322"/>
    </row>
    <row r="89" spans="1:21" ht="11.25" customHeight="1" x14ac:dyDescent="0.2">
      <c r="A89" s="335"/>
      <c r="N89" s="322"/>
      <c r="O89" s="322"/>
      <c r="P89" s="322"/>
      <c r="Q89" s="322"/>
      <c r="R89" s="322"/>
      <c r="S89" s="322"/>
      <c r="T89" s="322"/>
      <c r="U89" s="322"/>
    </row>
  </sheetData>
  <mergeCells count="16">
    <mergeCell ref="W3:X3"/>
    <mergeCell ref="T3:U3"/>
    <mergeCell ref="Q3:R3"/>
    <mergeCell ref="N3:O3"/>
    <mergeCell ref="B3:C3"/>
    <mergeCell ref="E3:F3"/>
    <mergeCell ref="H3:I3"/>
    <mergeCell ref="K3:L3"/>
    <mergeCell ref="Q13:R13"/>
    <mergeCell ref="T13:U13"/>
    <mergeCell ref="W13:X13"/>
    <mergeCell ref="B13:C13"/>
    <mergeCell ref="E13:F13"/>
    <mergeCell ref="H13:I13"/>
    <mergeCell ref="K13:L13"/>
    <mergeCell ref="N13:O13"/>
  </mergeCells>
  <phoneticPr fontId="5" type="noConversion"/>
  <pageMargins left="0.78740157499999996" right="0.78740157499999996" top="0.984251969" bottom="0.984251969" header="0.5" footer="0.5"/>
  <pageSetup paperSize="9" scale="80" orientation="landscape" verticalDpi="4294967292" r:id="rId1"/>
  <headerFooter alignWithMargins="0"/>
  <colBreaks count="1" manualBreakCount="1">
    <brk id="2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16"/>
  <dimension ref="A1:Z33"/>
  <sheetViews>
    <sheetView showGridLines="0" zoomScale="115" zoomScaleNormal="115" workbookViewId="0">
      <selection activeCell="A16" sqref="A16"/>
    </sheetView>
  </sheetViews>
  <sheetFormatPr baseColWidth="10" defaultColWidth="11.44140625" defaultRowHeight="11.25" customHeight="1" x14ac:dyDescent="0.2"/>
  <cols>
    <col min="1" max="1" width="40.5546875" style="71" customWidth="1"/>
    <col min="2" max="3" width="10.5546875" style="10" customWidth="1"/>
    <col min="4" max="4" width="2.5546875" style="10" customWidth="1"/>
    <col min="5" max="5" width="10.5546875" style="10" customWidth="1"/>
    <col min="6" max="6" width="14.5546875" style="10" customWidth="1"/>
    <col min="7" max="7" width="2.5546875" style="10" customWidth="1"/>
    <col min="8" max="9" width="10.5546875" style="10" customWidth="1"/>
    <col min="10" max="10" width="2.5546875" style="10" customWidth="1"/>
    <col min="11" max="12" width="10.5546875" style="10" customWidth="1"/>
    <col min="13" max="13" width="2.5546875" style="10" customWidth="1"/>
    <col min="14" max="21" width="10.5546875" style="10" customWidth="1"/>
    <col min="22" max="16384" width="11.44140625" style="10"/>
  </cols>
  <sheetData>
    <row r="1" spans="1:26" s="17" customFormat="1" ht="12" customHeight="1" x14ac:dyDescent="0.25">
      <c r="A1" s="18" t="str">
        <f>Tabelloversikt!A24</f>
        <v>Tabell 19 Anslått fordeling av totalt antall nye prosjekter fordelt etter prosjektstørrelse 2021-2023. Antall prosjekter og mill. kr.</v>
      </c>
      <c r="B1" s="336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</row>
    <row r="2" spans="1:26" s="135" customFormat="1" ht="12" customHeight="1" x14ac:dyDescent="0.2">
      <c r="A2" s="29"/>
    </row>
    <row r="3" spans="1:26" ht="11.25" customHeight="1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3.5" customHeight="1" thickBot="1" x14ac:dyDescent="0.25">
      <c r="A4" s="395"/>
      <c r="B4" s="483" t="s">
        <v>172</v>
      </c>
      <c r="C4" s="483"/>
      <c r="D4" s="397"/>
      <c r="E4" s="483" t="s">
        <v>40</v>
      </c>
      <c r="F4" s="483"/>
      <c r="G4" s="397"/>
      <c r="H4" s="483" t="s">
        <v>173</v>
      </c>
      <c r="I4" s="483"/>
      <c r="J4" s="397"/>
      <c r="K4" s="483" t="s">
        <v>174</v>
      </c>
      <c r="L4" s="483"/>
      <c r="M4" s="397"/>
      <c r="N4" s="483" t="s">
        <v>11</v>
      </c>
      <c r="O4" s="483"/>
    </row>
    <row r="5" spans="1:26" ht="11.25" customHeight="1" thickBot="1" x14ac:dyDescent="0.25">
      <c r="A5" s="396"/>
      <c r="B5" s="68" t="s">
        <v>18</v>
      </c>
      <c r="C5" s="68" t="s">
        <v>175</v>
      </c>
      <c r="D5" s="68"/>
      <c r="E5" s="68" t="s">
        <v>18</v>
      </c>
      <c r="F5" s="68" t="s">
        <v>175</v>
      </c>
      <c r="G5" s="68"/>
      <c r="H5" s="68" t="s">
        <v>18</v>
      </c>
      <c r="I5" s="68" t="s">
        <v>175</v>
      </c>
      <c r="J5" s="68"/>
      <c r="K5" s="68" t="s">
        <v>18</v>
      </c>
      <c r="L5" s="68" t="s">
        <v>175</v>
      </c>
      <c r="M5" s="68"/>
      <c r="N5" s="68" t="s">
        <v>18</v>
      </c>
      <c r="O5" s="68" t="s">
        <v>175</v>
      </c>
    </row>
    <row r="6" spans="1:26" ht="11.25" customHeight="1" x14ac:dyDescent="0.2">
      <c r="A6" s="396">
        <f>A16-1</f>
        <v>2021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396"/>
      <c r="N6" s="68"/>
      <c r="O6" s="68"/>
    </row>
    <row r="7" spans="1:26" ht="11.25" customHeight="1" x14ac:dyDescent="0.2">
      <c r="A7" s="71" t="s">
        <v>5</v>
      </c>
      <c r="B7" s="203">
        <v>666</v>
      </c>
      <c r="C7" s="149">
        <v>94096</v>
      </c>
      <c r="D7" s="203"/>
      <c r="E7" s="203">
        <v>198</v>
      </c>
      <c r="F7" s="149">
        <v>213227</v>
      </c>
      <c r="G7" s="203"/>
      <c r="H7" s="203">
        <v>71</v>
      </c>
      <c r="I7" s="149">
        <v>229667</v>
      </c>
      <c r="J7" s="203"/>
      <c r="K7" s="203">
        <v>100</v>
      </c>
      <c r="L7" s="149">
        <v>1100170</v>
      </c>
      <c r="M7" s="203"/>
      <c r="N7" s="203">
        <v>1035</v>
      </c>
      <c r="O7" s="149">
        <v>1637160</v>
      </c>
    </row>
    <row r="8" spans="1:26" ht="11.25" customHeight="1" x14ac:dyDescent="0.2">
      <c r="A8" s="71" t="s">
        <v>108</v>
      </c>
      <c r="B8" s="203">
        <v>1599</v>
      </c>
      <c r="C8" s="149">
        <v>256622</v>
      </c>
      <c r="D8" s="203"/>
      <c r="E8" s="203">
        <v>294</v>
      </c>
      <c r="F8" s="149">
        <v>305201</v>
      </c>
      <c r="G8" s="203"/>
      <c r="H8" s="203">
        <v>111</v>
      </c>
      <c r="I8" s="149">
        <v>327778</v>
      </c>
      <c r="J8" s="203"/>
      <c r="K8" s="203">
        <v>86</v>
      </c>
      <c r="L8" s="149">
        <v>1240677</v>
      </c>
      <c r="M8" s="203"/>
      <c r="N8" s="203">
        <v>2090</v>
      </c>
      <c r="O8" s="149">
        <v>2130278</v>
      </c>
    </row>
    <row r="9" spans="1:26" ht="11.25" customHeight="1" x14ac:dyDescent="0.2">
      <c r="A9" s="71" t="s">
        <v>4</v>
      </c>
      <c r="B9" s="203">
        <v>592</v>
      </c>
      <c r="C9" s="149">
        <v>97533</v>
      </c>
      <c r="D9" s="203"/>
      <c r="E9" s="203">
        <v>191</v>
      </c>
      <c r="F9" s="149">
        <v>202470</v>
      </c>
      <c r="G9" s="203"/>
      <c r="H9" s="203">
        <v>93</v>
      </c>
      <c r="I9" s="149">
        <v>294548</v>
      </c>
      <c r="J9" s="203"/>
      <c r="K9" s="203">
        <v>89</v>
      </c>
      <c r="L9" s="149">
        <v>950775</v>
      </c>
      <c r="M9" s="203"/>
      <c r="N9" s="203">
        <v>965</v>
      </c>
      <c r="O9" s="149">
        <v>1545326</v>
      </c>
    </row>
    <row r="10" spans="1:26" ht="11.25" customHeight="1" x14ac:dyDescent="0.2">
      <c r="A10" s="71" t="s">
        <v>6</v>
      </c>
      <c r="B10" s="203">
        <v>4795</v>
      </c>
      <c r="C10" s="149">
        <v>457616</v>
      </c>
      <c r="D10" s="203"/>
      <c r="E10" s="203">
        <v>692</v>
      </c>
      <c r="F10" s="149">
        <v>688177</v>
      </c>
      <c r="G10" s="203"/>
      <c r="H10" s="203">
        <v>268</v>
      </c>
      <c r="I10" s="149">
        <v>892245</v>
      </c>
      <c r="J10" s="203"/>
      <c r="K10" s="203">
        <v>179</v>
      </c>
      <c r="L10" s="149">
        <v>2281685</v>
      </c>
      <c r="M10" s="203"/>
      <c r="N10" s="203">
        <v>5934</v>
      </c>
      <c r="O10" s="149">
        <v>4319723</v>
      </c>
    </row>
    <row r="11" spans="1:26" ht="11.25" customHeight="1" x14ac:dyDescent="0.2">
      <c r="A11" s="78" t="s">
        <v>107</v>
      </c>
      <c r="B11" s="398">
        <f>SUM(B7:B10)</f>
        <v>7652</v>
      </c>
      <c r="C11" s="79">
        <f>SUM(C7:C10)</f>
        <v>905867</v>
      </c>
      <c r="D11" s="398"/>
      <c r="E11" s="398">
        <f>SUM(E7:E10)</f>
        <v>1375</v>
      </c>
      <c r="F11" s="79">
        <f>SUM(F7:F10)</f>
        <v>1409075</v>
      </c>
      <c r="G11" s="398"/>
      <c r="H11" s="398">
        <f>SUM(H7:H10)</f>
        <v>543</v>
      </c>
      <c r="I11" s="79">
        <f>SUM(I7:I10)</f>
        <v>1744238</v>
      </c>
      <c r="J11" s="398"/>
      <c r="K11" s="398">
        <f>SUM(K7:K10)</f>
        <v>454</v>
      </c>
      <c r="L11" s="79">
        <f>SUM(L7:L10)</f>
        <v>5573307</v>
      </c>
      <c r="M11" s="78"/>
      <c r="N11" s="398">
        <f t="shared" ref="N11" si="0">B11+E11+H11+K11</f>
        <v>10024</v>
      </c>
      <c r="O11" s="79">
        <f t="shared" ref="O11" si="1">C11+F11+I11+L11</f>
        <v>9632487</v>
      </c>
    </row>
    <row r="14" spans="1:26" ht="11.25" customHeight="1" thickBot="1" x14ac:dyDescent="0.25">
      <c r="A14" s="395"/>
      <c r="B14" s="483" t="s">
        <v>172</v>
      </c>
      <c r="C14" s="483"/>
      <c r="D14" s="397"/>
      <c r="E14" s="483" t="s">
        <v>40</v>
      </c>
      <c r="F14" s="483"/>
      <c r="G14" s="397"/>
      <c r="H14" s="483" t="s">
        <v>173</v>
      </c>
      <c r="I14" s="483"/>
      <c r="J14" s="397"/>
      <c r="K14" s="483" t="s">
        <v>174</v>
      </c>
      <c r="L14" s="483"/>
      <c r="M14" s="397"/>
      <c r="N14" s="483" t="s">
        <v>11</v>
      </c>
      <c r="O14" s="483"/>
    </row>
    <row r="15" spans="1:26" ht="11.25" customHeight="1" thickBot="1" x14ac:dyDescent="0.25">
      <c r="A15" s="396"/>
      <c r="B15" s="68" t="s">
        <v>18</v>
      </c>
      <c r="C15" s="68" t="s">
        <v>175</v>
      </c>
      <c r="D15" s="68"/>
      <c r="E15" s="68" t="s">
        <v>18</v>
      </c>
      <c r="F15" s="68" t="s">
        <v>175</v>
      </c>
      <c r="G15" s="68"/>
      <c r="H15" s="68" t="s">
        <v>18</v>
      </c>
      <c r="I15" s="68" t="s">
        <v>175</v>
      </c>
      <c r="J15" s="68"/>
      <c r="K15" s="68" t="s">
        <v>18</v>
      </c>
      <c r="L15" s="68" t="s">
        <v>175</v>
      </c>
      <c r="M15" s="68"/>
      <c r="N15" s="68" t="s">
        <v>18</v>
      </c>
      <c r="O15" s="68" t="s">
        <v>175</v>
      </c>
    </row>
    <row r="16" spans="1:26" ht="11.25" customHeight="1" x14ac:dyDescent="0.2">
      <c r="A16" s="396">
        <f>A25-1</f>
        <v>2022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96"/>
      <c r="N16" s="68"/>
      <c r="O16" s="68"/>
    </row>
    <row r="17" spans="1:15" ht="11.25" customHeight="1" x14ac:dyDescent="0.2">
      <c r="A17" s="71" t="s">
        <v>5</v>
      </c>
      <c r="B17" s="203">
        <v>598</v>
      </c>
      <c r="C17" s="149">
        <v>89373</v>
      </c>
      <c r="D17" s="203"/>
      <c r="E17" s="203">
        <v>190</v>
      </c>
      <c r="F17" s="149">
        <v>184553</v>
      </c>
      <c r="G17" s="203"/>
      <c r="H17" s="203">
        <v>74</v>
      </c>
      <c r="I17" s="149">
        <v>249108</v>
      </c>
      <c r="J17" s="203"/>
      <c r="K17" s="203">
        <v>43</v>
      </c>
      <c r="L17" s="149">
        <v>511777</v>
      </c>
      <c r="M17" s="203"/>
      <c r="N17" s="203">
        <v>905</v>
      </c>
      <c r="O17" s="149">
        <v>1034811</v>
      </c>
    </row>
    <row r="18" spans="1:15" ht="11.25" customHeight="1" x14ac:dyDescent="0.2">
      <c r="A18" s="71" t="s">
        <v>108</v>
      </c>
      <c r="B18" s="203">
        <v>1456</v>
      </c>
      <c r="C18" s="149">
        <v>156854</v>
      </c>
      <c r="D18" s="203"/>
      <c r="E18" s="203">
        <v>296</v>
      </c>
      <c r="F18" s="149">
        <v>213570</v>
      </c>
      <c r="G18" s="203"/>
      <c r="H18" s="203">
        <v>125</v>
      </c>
      <c r="I18" s="149">
        <v>225171</v>
      </c>
      <c r="J18" s="203"/>
      <c r="K18" s="203">
        <v>68</v>
      </c>
      <c r="L18" s="149">
        <v>628918</v>
      </c>
      <c r="M18" s="203"/>
      <c r="N18" s="203">
        <v>1945</v>
      </c>
      <c r="O18" s="149">
        <v>1224513</v>
      </c>
    </row>
    <row r="19" spans="1:15" ht="11.25" customHeight="1" x14ac:dyDescent="0.2">
      <c r="A19" s="71" t="s">
        <v>4</v>
      </c>
      <c r="B19" s="203">
        <v>547</v>
      </c>
      <c r="C19" s="149">
        <v>96184</v>
      </c>
      <c r="D19" s="203"/>
      <c r="E19" s="203">
        <v>160</v>
      </c>
      <c r="F19" s="149">
        <v>165158</v>
      </c>
      <c r="G19" s="203"/>
      <c r="H19" s="203">
        <v>83</v>
      </c>
      <c r="I19" s="149">
        <v>256262</v>
      </c>
      <c r="J19" s="203"/>
      <c r="K19" s="203">
        <v>51</v>
      </c>
      <c r="L19" s="149">
        <v>625129</v>
      </c>
      <c r="M19" s="203"/>
      <c r="N19" s="203">
        <v>841</v>
      </c>
      <c r="O19" s="149">
        <v>1142733</v>
      </c>
    </row>
    <row r="20" spans="1:15" ht="11.25" customHeight="1" x14ac:dyDescent="0.2">
      <c r="A20" s="71" t="s">
        <v>6</v>
      </c>
      <c r="B20" s="203">
        <v>3712</v>
      </c>
      <c r="C20" s="149">
        <v>327151</v>
      </c>
      <c r="D20" s="203"/>
      <c r="E20" s="203">
        <v>505</v>
      </c>
      <c r="F20" s="149">
        <v>506327</v>
      </c>
      <c r="G20" s="203"/>
      <c r="H20" s="203">
        <v>215</v>
      </c>
      <c r="I20" s="149">
        <v>723442</v>
      </c>
      <c r="J20" s="203"/>
      <c r="K20" s="203">
        <v>175</v>
      </c>
      <c r="L20" s="149">
        <v>2530833</v>
      </c>
      <c r="M20" s="203"/>
      <c r="N20" s="203">
        <v>4607</v>
      </c>
      <c r="O20" s="149">
        <v>4087753</v>
      </c>
    </row>
    <row r="21" spans="1:15" ht="11.25" customHeight="1" x14ac:dyDescent="0.2">
      <c r="A21" s="78" t="s">
        <v>107</v>
      </c>
      <c r="B21" s="398">
        <f>SUM(B17:B20)</f>
        <v>6313</v>
      </c>
      <c r="C21" s="79">
        <f>SUM(C17:C20)</f>
        <v>669562</v>
      </c>
      <c r="D21" s="398"/>
      <c r="E21" s="398">
        <f>SUM(E17:E20)</f>
        <v>1151</v>
      </c>
      <c r="F21" s="79">
        <f>SUM(F17:F20)</f>
        <v>1069608</v>
      </c>
      <c r="G21" s="398"/>
      <c r="H21" s="398">
        <f>SUM(H17:H20)</f>
        <v>497</v>
      </c>
      <c r="I21" s="79">
        <f>SUM(I17:I20)</f>
        <v>1453983</v>
      </c>
      <c r="J21" s="398"/>
      <c r="K21" s="398">
        <f>SUM(K17:K20)</f>
        <v>337</v>
      </c>
      <c r="L21" s="79">
        <f>SUM(L17:L20)</f>
        <v>4296657</v>
      </c>
      <c r="M21" s="78"/>
      <c r="N21" s="398">
        <f t="shared" ref="N21" si="2">B21+E21+H21+K21</f>
        <v>8298</v>
      </c>
      <c r="O21" s="79">
        <f t="shared" ref="O21" si="3">C21+F21+I21+L21</f>
        <v>7489810</v>
      </c>
    </row>
    <row r="23" spans="1:15" ht="11.25" customHeight="1" thickBot="1" x14ac:dyDescent="0.25">
      <c r="A23" s="395"/>
      <c r="B23" s="483" t="s">
        <v>172</v>
      </c>
      <c r="C23" s="483"/>
      <c r="D23" s="397"/>
      <c r="E23" s="483" t="s">
        <v>40</v>
      </c>
      <c r="F23" s="483"/>
      <c r="G23" s="397"/>
      <c r="H23" s="483" t="s">
        <v>173</v>
      </c>
      <c r="I23" s="483"/>
      <c r="J23" s="397"/>
      <c r="K23" s="483" t="s">
        <v>174</v>
      </c>
      <c r="L23" s="483"/>
      <c r="M23" s="397"/>
      <c r="N23" s="483" t="s">
        <v>11</v>
      </c>
      <c r="O23" s="483"/>
    </row>
    <row r="24" spans="1:15" ht="11.25" customHeight="1" thickBot="1" x14ac:dyDescent="0.25">
      <c r="A24" s="396"/>
      <c r="B24" s="68" t="s">
        <v>18</v>
      </c>
      <c r="C24" s="68" t="s">
        <v>175</v>
      </c>
      <c r="D24" s="68"/>
      <c r="E24" s="68" t="s">
        <v>18</v>
      </c>
      <c r="F24" s="68" t="s">
        <v>175</v>
      </c>
      <c r="G24" s="68"/>
      <c r="H24" s="68" t="s">
        <v>18</v>
      </c>
      <c r="I24" s="68" t="s">
        <v>175</v>
      </c>
      <c r="J24" s="68"/>
      <c r="K24" s="68" t="s">
        <v>18</v>
      </c>
      <c r="L24" s="68" t="s">
        <v>175</v>
      </c>
      <c r="M24" s="68"/>
      <c r="N24" s="68" t="s">
        <v>18</v>
      </c>
      <c r="O24" s="68" t="s">
        <v>175</v>
      </c>
    </row>
    <row r="25" spans="1:15" ht="11.25" customHeight="1" x14ac:dyDescent="0.2">
      <c r="A25" s="396">
        <v>2023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396"/>
      <c r="N25" s="68"/>
      <c r="O25" s="68"/>
    </row>
    <row r="26" spans="1:15" ht="11.25" customHeight="1" x14ac:dyDescent="0.2">
      <c r="A26" s="71" t="s">
        <v>5</v>
      </c>
      <c r="B26" s="203">
        <v>646</v>
      </c>
      <c r="C26" s="149">
        <v>81862</v>
      </c>
      <c r="D26" s="203"/>
      <c r="E26" s="203">
        <v>184</v>
      </c>
      <c r="F26" s="149">
        <v>187969</v>
      </c>
      <c r="G26" s="203"/>
      <c r="H26" s="203">
        <v>52</v>
      </c>
      <c r="I26" s="149">
        <v>160645</v>
      </c>
      <c r="J26" s="203"/>
      <c r="K26" s="203">
        <v>52</v>
      </c>
      <c r="L26" s="149">
        <v>592898</v>
      </c>
      <c r="M26" s="203"/>
      <c r="N26" s="203">
        <v>934</v>
      </c>
      <c r="O26" s="149">
        <v>1023374</v>
      </c>
    </row>
    <row r="27" spans="1:15" ht="11.25" customHeight="1" x14ac:dyDescent="0.2">
      <c r="A27" s="71" t="s">
        <v>108</v>
      </c>
      <c r="B27" s="203">
        <v>1399</v>
      </c>
      <c r="C27" s="149">
        <v>175768</v>
      </c>
      <c r="D27" s="203"/>
      <c r="E27" s="203">
        <v>247</v>
      </c>
      <c r="F27" s="149">
        <v>257644</v>
      </c>
      <c r="G27" s="203"/>
      <c r="H27" s="203">
        <v>151</v>
      </c>
      <c r="I27" s="149">
        <v>367487</v>
      </c>
      <c r="J27" s="203"/>
      <c r="K27" s="203">
        <v>62</v>
      </c>
      <c r="L27" s="149">
        <v>681693</v>
      </c>
      <c r="M27" s="203"/>
      <c r="N27" s="203">
        <v>1859</v>
      </c>
      <c r="O27" s="149">
        <v>1482592</v>
      </c>
    </row>
    <row r="28" spans="1:15" ht="11.25" customHeight="1" x14ac:dyDescent="0.2">
      <c r="A28" s="71" t="s">
        <v>4</v>
      </c>
      <c r="B28" s="203">
        <v>410</v>
      </c>
      <c r="C28" s="149">
        <v>75136</v>
      </c>
      <c r="D28" s="203"/>
      <c r="E28" s="203">
        <v>173</v>
      </c>
      <c r="F28" s="149">
        <v>181324</v>
      </c>
      <c r="G28" s="203"/>
      <c r="H28" s="203">
        <v>87</v>
      </c>
      <c r="I28" s="149">
        <v>281977</v>
      </c>
      <c r="J28" s="203"/>
      <c r="K28" s="203">
        <v>64</v>
      </c>
      <c r="L28" s="149">
        <v>686001</v>
      </c>
      <c r="M28" s="203"/>
      <c r="N28" s="203">
        <v>734</v>
      </c>
      <c r="O28" s="149">
        <v>1224438</v>
      </c>
    </row>
    <row r="29" spans="1:15" ht="11.25" customHeight="1" x14ac:dyDescent="0.2">
      <c r="A29" s="71" t="s">
        <v>6</v>
      </c>
      <c r="B29" s="203">
        <v>3564</v>
      </c>
      <c r="C29" s="149">
        <v>310089</v>
      </c>
      <c r="D29" s="203"/>
      <c r="E29" s="203">
        <v>551</v>
      </c>
      <c r="F29" s="149">
        <v>565178</v>
      </c>
      <c r="G29" s="203"/>
      <c r="H29" s="203">
        <v>232</v>
      </c>
      <c r="I29" s="149">
        <v>785880</v>
      </c>
      <c r="J29" s="203"/>
      <c r="K29" s="203">
        <v>232</v>
      </c>
      <c r="L29" s="149">
        <v>2844228</v>
      </c>
      <c r="M29" s="203"/>
      <c r="N29" s="203">
        <v>4579</v>
      </c>
      <c r="O29" s="149">
        <v>4505375</v>
      </c>
    </row>
    <row r="30" spans="1:15" ht="11.25" customHeight="1" x14ac:dyDescent="0.2">
      <c r="A30" s="78" t="s">
        <v>107</v>
      </c>
      <c r="B30" s="398">
        <f>SUM(B26:B29)</f>
        <v>6019</v>
      </c>
      <c r="C30" s="79">
        <f>SUM(C26:C29)</f>
        <v>642855</v>
      </c>
      <c r="D30" s="398"/>
      <c r="E30" s="398">
        <f>SUM(E26:E29)</f>
        <v>1155</v>
      </c>
      <c r="F30" s="79">
        <f>SUM(F26:F29)</f>
        <v>1192115</v>
      </c>
      <c r="G30" s="398"/>
      <c r="H30" s="398">
        <f>SUM(H26:H29)</f>
        <v>522</v>
      </c>
      <c r="I30" s="79">
        <f>SUM(I26:I29)</f>
        <v>1595989</v>
      </c>
      <c r="J30" s="398"/>
      <c r="K30" s="398">
        <f>SUM(K26:K29)</f>
        <v>410</v>
      </c>
      <c r="L30" s="79">
        <f>SUM(L26:L29)</f>
        <v>4804820</v>
      </c>
      <c r="M30" s="78"/>
      <c r="N30" s="398">
        <f t="shared" ref="N30" si="4">B30+E30+H30+K30</f>
        <v>8106</v>
      </c>
      <c r="O30" s="79">
        <f t="shared" ref="O30" si="5">C30+F30+I30+L30</f>
        <v>8235779</v>
      </c>
    </row>
    <row r="33" spans="1:1" ht="11.25" customHeight="1" x14ac:dyDescent="0.2">
      <c r="A33" s="381"/>
    </row>
  </sheetData>
  <mergeCells count="15">
    <mergeCell ref="B14:C14"/>
    <mergeCell ref="E14:F14"/>
    <mergeCell ref="H14:I14"/>
    <mergeCell ref="K14:L14"/>
    <mergeCell ref="N14:O14"/>
    <mergeCell ref="B4:C4"/>
    <mergeCell ref="E4:F4"/>
    <mergeCell ref="H4:I4"/>
    <mergeCell ref="K4:L4"/>
    <mergeCell ref="N4:O4"/>
    <mergeCell ref="B23:C23"/>
    <mergeCell ref="E23:F23"/>
    <mergeCell ref="H23:I23"/>
    <mergeCell ref="K23:L23"/>
    <mergeCell ref="N23:O23"/>
  </mergeCells>
  <phoneticPr fontId="6" type="noConversion"/>
  <conditionalFormatting sqref="A1">
    <cfRule type="cellIs" dxfId="0" priority="1" operator="equal">
      <formula>0</formula>
    </cfRule>
  </conditionalFormatting>
  <pageMargins left="0.78740157499999996" right="0.78740157499999996" top="0.984251969" bottom="0.984251969" header="0.5" footer="0.5"/>
  <pageSetup paperSize="9" scale="7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S85"/>
  <sheetViews>
    <sheetView showGridLines="0" zoomScale="115" zoomScaleNormal="115" workbookViewId="0">
      <selection activeCell="A33" sqref="A33"/>
    </sheetView>
  </sheetViews>
  <sheetFormatPr baseColWidth="10" defaultColWidth="8.88671875" defaultRowHeight="11.25" customHeight="1" x14ac:dyDescent="0.2"/>
  <cols>
    <col min="1" max="1" width="40.5546875" style="358" customWidth="1"/>
    <col min="2" max="6" width="10.5546875" style="358" customWidth="1"/>
    <col min="7" max="7" width="11" style="365" customWidth="1"/>
    <col min="8" max="21" width="10.5546875" style="358" customWidth="1"/>
    <col min="22" max="16384" width="8.88671875" style="358"/>
  </cols>
  <sheetData>
    <row r="1" spans="1:45" s="339" customFormat="1" ht="12" customHeight="1" x14ac:dyDescent="0.25">
      <c r="A1" s="338" t="str">
        <f>Tabelloversikt!A25</f>
        <v>Tabell 20 Nyetableringer, lisenser og patenter. 2019-2023</v>
      </c>
      <c r="B1" s="338"/>
      <c r="D1" s="338"/>
      <c r="E1" s="340"/>
      <c r="F1" s="338"/>
      <c r="G1" s="341"/>
    </row>
    <row r="2" spans="1:45" s="343" customFormat="1" ht="12" customHeight="1" x14ac:dyDescent="0.25">
      <c r="A2" s="342"/>
      <c r="B2" s="342"/>
      <c r="D2" s="342"/>
      <c r="E2" s="344"/>
      <c r="F2" s="342"/>
      <c r="G2" s="345"/>
    </row>
    <row r="3" spans="1:45" s="350" customFormat="1" ht="10.199999999999999" x14ac:dyDescent="0.2">
      <c r="A3" s="346"/>
      <c r="B3" s="347"/>
      <c r="C3" s="484" t="s">
        <v>25</v>
      </c>
      <c r="D3" s="484"/>
      <c r="E3" s="348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49"/>
      <c r="AN3" s="349"/>
      <c r="AO3" s="349"/>
      <c r="AP3" s="349"/>
      <c r="AQ3" s="349"/>
      <c r="AR3" s="349"/>
      <c r="AS3" s="349"/>
    </row>
    <row r="4" spans="1:45" s="356" customFormat="1" ht="31.2" thickBot="1" x14ac:dyDescent="0.25">
      <c r="A4" s="351"/>
      <c r="B4" s="352" t="s">
        <v>118</v>
      </c>
      <c r="C4" s="352" t="s">
        <v>26</v>
      </c>
      <c r="D4" s="352" t="s">
        <v>9</v>
      </c>
      <c r="E4" s="353" t="s">
        <v>27</v>
      </c>
      <c r="F4" s="353" t="s">
        <v>28</v>
      </c>
      <c r="G4" s="354" t="s">
        <v>29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</row>
    <row r="5" spans="1:45" ht="11.25" customHeight="1" x14ac:dyDescent="0.25">
      <c r="A5" s="67">
        <f>A12-1</f>
        <v>2019</v>
      </c>
      <c r="B5" s="201"/>
      <c r="C5" s="201"/>
      <c r="D5" s="201"/>
      <c r="E5" s="201"/>
      <c r="F5" s="201"/>
      <c r="G5" s="201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</row>
    <row r="6" spans="1:45" ht="11.25" customHeight="1" x14ac:dyDescent="0.2">
      <c r="A6" s="71" t="s">
        <v>5</v>
      </c>
      <c r="B6" s="9">
        <v>1</v>
      </c>
      <c r="C6" s="9">
        <v>0</v>
      </c>
      <c r="D6" s="9">
        <v>0</v>
      </c>
      <c r="E6" s="9">
        <v>0</v>
      </c>
      <c r="F6" s="9">
        <v>0</v>
      </c>
      <c r="G6" s="359">
        <v>0</v>
      </c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45" ht="11.25" customHeight="1" x14ac:dyDescent="0.2">
      <c r="A7" s="71" t="s">
        <v>108</v>
      </c>
      <c r="B7" s="9">
        <v>1</v>
      </c>
      <c r="C7" s="9">
        <v>0</v>
      </c>
      <c r="D7" s="9">
        <v>0</v>
      </c>
      <c r="E7" s="9">
        <v>0</v>
      </c>
      <c r="F7" s="9">
        <v>0</v>
      </c>
      <c r="G7" s="359">
        <v>20</v>
      </c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</row>
    <row r="8" spans="1:45" ht="11.25" customHeight="1" x14ac:dyDescent="0.2">
      <c r="A8" s="71" t="s">
        <v>4</v>
      </c>
      <c r="B8" s="9">
        <v>0</v>
      </c>
      <c r="C8" s="9">
        <v>1</v>
      </c>
      <c r="D8" s="9">
        <v>0</v>
      </c>
      <c r="E8" s="9">
        <v>7</v>
      </c>
      <c r="F8" s="9">
        <v>2</v>
      </c>
      <c r="G8" s="359">
        <v>1000</v>
      </c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</row>
    <row r="9" spans="1:45" ht="11.25" customHeight="1" x14ac:dyDescent="0.2">
      <c r="A9" s="71" t="s">
        <v>6</v>
      </c>
      <c r="B9" s="9">
        <v>3</v>
      </c>
      <c r="C9" s="9">
        <v>5</v>
      </c>
      <c r="D9" s="9">
        <v>40</v>
      </c>
      <c r="E9" s="9">
        <v>17</v>
      </c>
      <c r="F9" s="9">
        <v>56</v>
      </c>
      <c r="G9" s="359">
        <v>6579</v>
      </c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</row>
    <row r="10" spans="1:45" ht="11.25" customHeight="1" x14ac:dyDescent="0.2">
      <c r="A10" s="78" t="s">
        <v>107</v>
      </c>
      <c r="B10" s="422">
        <f t="shared" ref="B10:G10" si="0">SUM(B6:B9)</f>
        <v>5</v>
      </c>
      <c r="C10" s="422">
        <f t="shared" si="0"/>
        <v>6</v>
      </c>
      <c r="D10" s="422">
        <f t="shared" si="0"/>
        <v>40</v>
      </c>
      <c r="E10" s="422">
        <f t="shared" si="0"/>
        <v>24</v>
      </c>
      <c r="F10" s="422">
        <f t="shared" si="0"/>
        <v>58</v>
      </c>
      <c r="G10" s="423">
        <f t="shared" si="0"/>
        <v>7599</v>
      </c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</row>
    <row r="11" spans="1:45" ht="11.25" customHeight="1" thickBot="1" x14ac:dyDescent="0.3">
      <c r="A11" s="152"/>
      <c r="B11" s="208"/>
      <c r="C11" s="208"/>
      <c r="D11" s="208"/>
      <c r="E11" s="208"/>
      <c r="F11" s="208"/>
      <c r="G11" s="299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</row>
    <row r="12" spans="1:45" ht="11.25" customHeight="1" x14ac:dyDescent="0.2">
      <c r="A12" s="67">
        <f>A19-1</f>
        <v>2020</v>
      </c>
      <c r="B12" s="213"/>
      <c r="C12" s="213"/>
      <c r="D12" s="213"/>
      <c r="E12" s="213"/>
      <c r="F12" s="213"/>
      <c r="G12" s="362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</row>
    <row r="13" spans="1:45" ht="11.25" customHeight="1" x14ac:dyDescent="0.2">
      <c r="A13" s="71" t="s">
        <v>5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359">
        <v>0</v>
      </c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</row>
    <row r="14" spans="1:45" ht="11.25" customHeight="1" x14ac:dyDescent="0.2">
      <c r="A14" s="71" t="s">
        <v>108</v>
      </c>
      <c r="B14" s="9">
        <v>0</v>
      </c>
      <c r="C14" s="9">
        <v>2</v>
      </c>
      <c r="D14" s="9">
        <v>0</v>
      </c>
      <c r="E14" s="9">
        <v>2</v>
      </c>
      <c r="F14" s="9">
        <v>0</v>
      </c>
      <c r="G14" s="359">
        <v>20</v>
      </c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</row>
    <row r="15" spans="1:45" ht="11.25" customHeight="1" x14ac:dyDescent="0.2">
      <c r="A15" s="71" t="s">
        <v>4</v>
      </c>
      <c r="B15" s="9">
        <v>0</v>
      </c>
      <c r="C15" s="9">
        <v>3</v>
      </c>
      <c r="D15" s="9">
        <v>0</v>
      </c>
      <c r="E15" s="9">
        <v>7</v>
      </c>
      <c r="F15" s="9">
        <v>0</v>
      </c>
      <c r="G15" s="359">
        <v>562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</row>
    <row r="16" spans="1:45" ht="11.25" customHeight="1" x14ac:dyDescent="0.2">
      <c r="A16" s="71" t="s">
        <v>6</v>
      </c>
      <c r="B16" s="9">
        <v>1</v>
      </c>
      <c r="C16" s="9">
        <v>6</v>
      </c>
      <c r="D16" s="9">
        <v>39</v>
      </c>
      <c r="E16" s="9">
        <v>10</v>
      </c>
      <c r="F16" s="9">
        <v>162</v>
      </c>
      <c r="G16" s="359">
        <v>6606</v>
      </c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</row>
    <row r="17" spans="1:26" ht="11.25" customHeight="1" x14ac:dyDescent="0.2">
      <c r="A17" s="78" t="str">
        <f>A10</f>
        <v>Sum institutter som omfattes av finansieringsordningen</v>
      </c>
      <c r="B17" s="422">
        <f t="shared" ref="B17:G17" si="1">SUM(B13:B16)</f>
        <v>2</v>
      </c>
      <c r="C17" s="422">
        <f t="shared" si="1"/>
        <v>11</v>
      </c>
      <c r="D17" s="422">
        <f t="shared" si="1"/>
        <v>39</v>
      </c>
      <c r="E17" s="422">
        <f t="shared" si="1"/>
        <v>19</v>
      </c>
      <c r="F17" s="422">
        <f t="shared" si="1"/>
        <v>162</v>
      </c>
      <c r="G17" s="423">
        <f t="shared" si="1"/>
        <v>7188</v>
      </c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</row>
    <row r="18" spans="1:26" ht="11.25" customHeight="1" thickBot="1" x14ac:dyDescent="0.3">
      <c r="A18" s="152"/>
      <c r="B18" s="208"/>
      <c r="C18" s="208"/>
      <c r="D18" s="208"/>
      <c r="E18" s="208"/>
      <c r="F18" s="208"/>
      <c r="G18" s="361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</row>
    <row r="19" spans="1:26" ht="11.25" customHeight="1" x14ac:dyDescent="0.2">
      <c r="A19" s="67">
        <f>A26-1</f>
        <v>2021</v>
      </c>
      <c r="B19" s="213"/>
      <c r="C19" s="213"/>
      <c r="D19" s="213"/>
      <c r="E19" s="213"/>
      <c r="F19" s="213"/>
      <c r="G19" s="362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</row>
    <row r="20" spans="1:26" ht="11.25" customHeight="1" x14ac:dyDescent="0.2">
      <c r="A20" s="71" t="s">
        <v>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359">
        <v>0</v>
      </c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</row>
    <row r="21" spans="1:26" ht="11.25" customHeight="1" x14ac:dyDescent="0.2">
      <c r="A21" s="71" t="s">
        <v>108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359">
        <v>25</v>
      </c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</row>
    <row r="22" spans="1:26" ht="11.25" customHeight="1" x14ac:dyDescent="0.2">
      <c r="A22" s="71" t="s">
        <v>4</v>
      </c>
      <c r="B22" s="9">
        <v>0</v>
      </c>
      <c r="C22" s="9">
        <v>2</v>
      </c>
      <c r="D22" s="9">
        <v>0</v>
      </c>
      <c r="E22" s="9">
        <v>7</v>
      </c>
      <c r="F22" s="9">
        <v>2</v>
      </c>
      <c r="G22" s="359">
        <v>1353</v>
      </c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</row>
    <row r="23" spans="1:26" ht="11.25" customHeight="1" x14ac:dyDescent="0.2">
      <c r="A23" s="71" t="s">
        <v>6</v>
      </c>
      <c r="B23" s="9">
        <v>1</v>
      </c>
      <c r="C23" s="9">
        <v>4</v>
      </c>
      <c r="D23" s="9">
        <v>46</v>
      </c>
      <c r="E23" s="9">
        <v>22</v>
      </c>
      <c r="F23" s="9">
        <v>563</v>
      </c>
      <c r="G23" s="359">
        <v>29726</v>
      </c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</row>
    <row r="24" spans="1:26" ht="11.25" customHeight="1" x14ac:dyDescent="0.2">
      <c r="A24" s="78" t="str">
        <f>A17</f>
        <v>Sum institutter som omfattes av finansieringsordningen</v>
      </c>
      <c r="B24" s="422">
        <f t="shared" ref="B24:G24" si="2">SUM(B20:B23)</f>
        <v>2</v>
      </c>
      <c r="C24" s="422">
        <f t="shared" si="2"/>
        <v>6</v>
      </c>
      <c r="D24" s="422">
        <f t="shared" si="2"/>
        <v>46</v>
      </c>
      <c r="E24" s="422">
        <f t="shared" si="2"/>
        <v>29</v>
      </c>
      <c r="F24" s="422">
        <f t="shared" si="2"/>
        <v>565</v>
      </c>
      <c r="G24" s="423">
        <f t="shared" si="2"/>
        <v>31104</v>
      </c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</row>
    <row r="25" spans="1:26" ht="11.25" customHeight="1" thickBot="1" x14ac:dyDescent="0.3">
      <c r="A25" s="152"/>
      <c r="B25" s="208"/>
      <c r="C25" s="208"/>
      <c r="D25" s="208"/>
      <c r="E25" s="208"/>
      <c r="F25" s="208"/>
      <c r="G25" s="361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</row>
    <row r="26" spans="1:26" ht="11.25" customHeight="1" x14ac:dyDescent="0.2">
      <c r="A26" s="67">
        <f>A33-1</f>
        <v>2022</v>
      </c>
      <c r="B26" s="213"/>
      <c r="C26" s="213"/>
      <c r="D26" s="213"/>
      <c r="E26" s="213"/>
      <c r="F26" s="213"/>
      <c r="G26" s="362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</row>
    <row r="27" spans="1:26" ht="11.25" customHeight="1" x14ac:dyDescent="0.2">
      <c r="A27" s="71" t="s">
        <v>5</v>
      </c>
      <c r="B27" s="9">
        <v>1</v>
      </c>
      <c r="C27" s="9">
        <v>0</v>
      </c>
      <c r="D27" s="9">
        <v>0</v>
      </c>
      <c r="E27" s="9">
        <v>0</v>
      </c>
      <c r="F27" s="9">
        <v>0</v>
      </c>
      <c r="G27" s="359">
        <v>0</v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</row>
    <row r="28" spans="1:26" ht="11.25" customHeight="1" x14ac:dyDescent="0.2">
      <c r="A28" s="71" t="s">
        <v>108</v>
      </c>
      <c r="B28" s="9">
        <v>1</v>
      </c>
      <c r="C28" s="9">
        <v>0</v>
      </c>
      <c r="D28" s="9">
        <v>0</v>
      </c>
      <c r="E28" s="9">
        <v>1</v>
      </c>
      <c r="F28" s="9">
        <v>0</v>
      </c>
      <c r="G28" s="359">
        <v>0</v>
      </c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</row>
    <row r="29" spans="1:26" ht="11.25" customHeight="1" x14ac:dyDescent="0.2">
      <c r="A29" s="71" t="s">
        <v>4</v>
      </c>
      <c r="B29" s="9">
        <v>2</v>
      </c>
      <c r="C29" s="9">
        <v>3</v>
      </c>
      <c r="D29" s="9">
        <v>0</v>
      </c>
      <c r="E29" s="9">
        <v>7</v>
      </c>
      <c r="F29" s="9">
        <v>4</v>
      </c>
      <c r="G29" s="359">
        <v>1685</v>
      </c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</row>
    <row r="30" spans="1:26" ht="11.25" customHeight="1" x14ac:dyDescent="0.2">
      <c r="A30" s="71" t="s">
        <v>6</v>
      </c>
      <c r="B30" s="9">
        <v>4</v>
      </c>
      <c r="C30" s="9">
        <v>4</v>
      </c>
      <c r="D30" s="9">
        <v>53</v>
      </c>
      <c r="E30" s="9">
        <v>16</v>
      </c>
      <c r="F30" s="9">
        <v>153</v>
      </c>
      <c r="G30" s="359">
        <v>48772</v>
      </c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</row>
    <row r="31" spans="1:26" ht="11.25" customHeight="1" x14ac:dyDescent="0.2">
      <c r="A31" s="78" t="str">
        <f>A24</f>
        <v>Sum institutter som omfattes av finansieringsordningen</v>
      </c>
      <c r="B31" s="422">
        <f t="shared" ref="B31:G31" si="3">SUM(B27:B30)</f>
        <v>8</v>
      </c>
      <c r="C31" s="422">
        <f t="shared" si="3"/>
        <v>7</v>
      </c>
      <c r="D31" s="422">
        <f t="shared" si="3"/>
        <v>53</v>
      </c>
      <c r="E31" s="422">
        <f t="shared" si="3"/>
        <v>24</v>
      </c>
      <c r="F31" s="422">
        <f t="shared" si="3"/>
        <v>157</v>
      </c>
      <c r="G31" s="423">
        <f t="shared" si="3"/>
        <v>50457</v>
      </c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</row>
    <row r="32" spans="1:26" ht="11.25" customHeight="1" thickBot="1" x14ac:dyDescent="0.3">
      <c r="A32" s="152"/>
      <c r="B32" s="208"/>
      <c r="C32" s="208"/>
      <c r="D32" s="208"/>
      <c r="E32" s="208"/>
      <c r="F32" s="208"/>
      <c r="G32" s="361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</row>
    <row r="33" spans="1:26" ht="11.25" customHeight="1" x14ac:dyDescent="0.2">
      <c r="A33" s="67">
        <v>2023</v>
      </c>
      <c r="B33" s="213"/>
      <c r="C33" s="213"/>
      <c r="D33" s="213"/>
      <c r="E33" s="213"/>
      <c r="F33" s="213"/>
      <c r="G33" s="362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</row>
    <row r="34" spans="1:26" ht="11.25" customHeight="1" x14ac:dyDescent="0.2">
      <c r="A34" s="71" t="s">
        <v>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359">
        <v>0</v>
      </c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</row>
    <row r="35" spans="1:26" ht="11.25" customHeight="1" x14ac:dyDescent="0.2">
      <c r="A35" s="71" t="s">
        <v>108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359">
        <v>0</v>
      </c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</row>
    <row r="36" spans="1:26" ht="11.25" customHeight="1" x14ac:dyDescent="0.2">
      <c r="A36" s="71" t="s">
        <v>4</v>
      </c>
      <c r="B36" s="9">
        <v>0</v>
      </c>
      <c r="C36" s="9">
        <v>3</v>
      </c>
      <c r="D36" s="9">
        <v>0</v>
      </c>
      <c r="E36" s="9">
        <v>6</v>
      </c>
      <c r="F36" s="9">
        <v>1</v>
      </c>
      <c r="G36" s="359">
        <v>1974</v>
      </c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</row>
    <row r="37" spans="1:26" ht="11.25" customHeight="1" x14ac:dyDescent="0.2">
      <c r="A37" s="71" t="s">
        <v>6</v>
      </c>
      <c r="B37" s="9">
        <v>2</v>
      </c>
      <c r="C37" s="9">
        <v>3</v>
      </c>
      <c r="D37" s="9">
        <v>33</v>
      </c>
      <c r="E37" s="9">
        <v>23</v>
      </c>
      <c r="F37" s="9">
        <v>132</v>
      </c>
      <c r="G37" s="359">
        <v>54407</v>
      </c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</row>
    <row r="38" spans="1:26" ht="11.25" customHeight="1" x14ac:dyDescent="0.2">
      <c r="A38" s="78" t="str">
        <f>A31</f>
        <v>Sum institutter som omfattes av finansieringsordningen</v>
      </c>
      <c r="B38" s="422">
        <f t="shared" ref="B38:G38" si="4">SUM(B34:B37)</f>
        <v>2</v>
      </c>
      <c r="C38" s="422">
        <f t="shared" si="4"/>
        <v>6</v>
      </c>
      <c r="D38" s="422">
        <f t="shared" si="4"/>
        <v>33</v>
      </c>
      <c r="E38" s="422">
        <f t="shared" si="4"/>
        <v>29</v>
      </c>
      <c r="F38" s="422">
        <f>SUM(F34:F37)</f>
        <v>133</v>
      </c>
      <c r="G38" s="423">
        <f t="shared" si="4"/>
        <v>56381</v>
      </c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</row>
    <row r="39" spans="1:26" ht="11.25" customHeight="1" x14ac:dyDescent="0.25">
      <c r="A39" s="12"/>
      <c r="B39" s="14"/>
      <c r="C39" s="14"/>
      <c r="D39" s="14"/>
      <c r="E39" s="14"/>
      <c r="F39" s="14"/>
      <c r="G39" s="363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</row>
    <row r="40" spans="1:26" ht="11.25" customHeight="1" x14ac:dyDescent="0.25">
      <c r="A40" s="12"/>
      <c r="B40" s="12"/>
      <c r="C40" s="12"/>
      <c r="D40" s="12"/>
      <c r="E40" s="12"/>
      <c r="F40" s="12"/>
      <c r="G40" s="12"/>
    </row>
    <row r="41" spans="1:26" ht="11.25" customHeight="1" x14ac:dyDescent="0.25">
      <c r="A41" s="12"/>
      <c r="B41" s="12"/>
      <c r="C41" s="12"/>
      <c r="D41" s="12"/>
      <c r="E41" s="12"/>
      <c r="F41" s="12"/>
      <c r="G41" s="12"/>
    </row>
    <row r="42" spans="1:26" s="364" customFormat="1" ht="11.25" customHeight="1" x14ac:dyDescent="0.25">
      <c r="A42" s="12"/>
      <c r="B42" s="12"/>
      <c r="C42" s="12"/>
      <c r="D42" s="12"/>
      <c r="E42" s="12"/>
      <c r="F42" s="12"/>
      <c r="G42" s="12"/>
    </row>
    <row r="43" spans="1:26" s="364" customFormat="1" ht="11.25" customHeight="1" x14ac:dyDescent="0.25">
      <c r="A43" s="12"/>
      <c r="B43" s="12"/>
      <c r="C43" s="12"/>
      <c r="D43" s="12"/>
      <c r="E43" s="12"/>
      <c r="F43" s="12"/>
      <c r="G43" s="12"/>
    </row>
    <row r="44" spans="1:26" s="364" customFormat="1" ht="11.25" customHeight="1" x14ac:dyDescent="0.25">
      <c r="A44" s="12"/>
      <c r="B44" s="12"/>
      <c r="C44" s="12"/>
      <c r="D44" s="12"/>
      <c r="E44" s="12"/>
      <c r="F44" s="12"/>
      <c r="G44" s="12"/>
    </row>
    <row r="45" spans="1:26" ht="11.25" customHeight="1" x14ac:dyDescent="0.25">
      <c r="A45" s="12"/>
      <c r="B45" s="12"/>
      <c r="C45" s="12"/>
      <c r="D45" s="12"/>
      <c r="E45" s="12"/>
      <c r="F45" s="12"/>
      <c r="G45" s="12"/>
    </row>
    <row r="46" spans="1:26" ht="11.25" customHeight="1" x14ac:dyDescent="0.25">
      <c r="A46" s="12"/>
      <c r="B46" s="12"/>
      <c r="C46" s="12"/>
      <c r="D46" s="12"/>
      <c r="E46" s="12"/>
      <c r="F46" s="12"/>
      <c r="G46" s="12"/>
    </row>
    <row r="47" spans="1:26" ht="11.25" customHeight="1" x14ac:dyDescent="0.25">
      <c r="A47" s="12"/>
      <c r="B47" s="12"/>
      <c r="C47" s="12"/>
      <c r="D47" s="12"/>
      <c r="E47" s="12"/>
      <c r="F47" s="12"/>
      <c r="G47" s="12"/>
    </row>
    <row r="48" spans="1:26" ht="11.25" customHeight="1" x14ac:dyDescent="0.25">
      <c r="A48" s="12"/>
      <c r="B48" s="12"/>
      <c r="C48" s="12"/>
      <c r="D48" s="12"/>
      <c r="E48" s="12"/>
      <c r="F48" s="12"/>
      <c r="G48" s="12"/>
    </row>
    <row r="49" spans="1:7" ht="11.25" customHeight="1" x14ac:dyDescent="0.25">
      <c r="A49" s="12"/>
      <c r="B49" s="12"/>
      <c r="C49" s="12"/>
      <c r="D49" s="12"/>
      <c r="E49" s="12"/>
      <c r="F49" s="12"/>
      <c r="G49" s="12"/>
    </row>
    <row r="50" spans="1:7" ht="11.25" customHeight="1" x14ac:dyDescent="0.25">
      <c r="A50" s="12"/>
      <c r="B50" s="12"/>
      <c r="C50" s="12"/>
      <c r="D50" s="12"/>
      <c r="E50" s="12"/>
      <c r="F50" s="12"/>
      <c r="G50" s="12"/>
    </row>
    <row r="85" spans="1:1" ht="11.25" customHeight="1" x14ac:dyDescent="0.2">
      <c r="A85" s="364"/>
    </row>
  </sheetData>
  <mergeCells count="1">
    <mergeCell ref="C3:D3"/>
  </mergeCells>
  <pageMargins left="0.78740157499999996" right="0.78740157499999996" top="0.984251969" bottom="0.984251969" header="0.5" footer="0.5"/>
  <pageSetup paperSize="9" scale="83" orientation="landscape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9F7F5-04E4-44ED-B22D-98EF91158869}">
  <dimension ref="A1:F40"/>
  <sheetViews>
    <sheetView showGridLines="0" zoomScaleNormal="100" workbookViewId="0"/>
  </sheetViews>
  <sheetFormatPr baseColWidth="10" defaultColWidth="11.44140625" defaultRowHeight="13.2" x14ac:dyDescent="0.25"/>
  <cols>
    <col min="1" max="1" width="25.5546875" style="401" customWidth="1"/>
    <col min="2" max="6" width="10.6640625" style="401" customWidth="1"/>
    <col min="7" max="16384" width="11.44140625" style="401"/>
  </cols>
  <sheetData>
    <row r="1" spans="1:6" ht="15" customHeight="1" x14ac:dyDescent="0.25">
      <c r="A1" s="400" t="str">
        <f>Tabelloversikt!A26</f>
        <v>Tabell 21 Egenkapital og gjeld. 2023. Mill. kroner.</v>
      </c>
    </row>
    <row r="3" spans="1:6" x14ac:dyDescent="0.25">
      <c r="A3" s="402"/>
      <c r="B3" s="485" t="s">
        <v>233</v>
      </c>
      <c r="C3" s="485"/>
      <c r="D3" s="485"/>
    </row>
    <row r="4" spans="1:6" ht="31.2" x14ac:dyDescent="0.25">
      <c r="A4" s="403"/>
      <c r="B4" s="404" t="s">
        <v>234</v>
      </c>
      <c r="C4" s="404" t="s">
        <v>235</v>
      </c>
      <c r="D4" s="404" t="s">
        <v>236</v>
      </c>
    </row>
    <row r="5" spans="1:6" ht="15" customHeight="1" x14ac:dyDescent="0.25">
      <c r="A5" s="405" t="s">
        <v>1</v>
      </c>
      <c r="B5" s="406" t="s">
        <v>131</v>
      </c>
      <c r="C5" s="406" t="s">
        <v>131</v>
      </c>
      <c r="D5" s="406" t="s">
        <v>131</v>
      </c>
    </row>
    <row r="6" spans="1:6" ht="15" customHeight="1" x14ac:dyDescent="0.25">
      <c r="A6" s="407" t="s">
        <v>237</v>
      </c>
      <c r="B6" s="415">
        <v>674654</v>
      </c>
      <c r="C6" s="415">
        <v>856858</v>
      </c>
      <c r="D6" s="416">
        <f>B6+C6</f>
        <v>1531512</v>
      </c>
      <c r="E6" s="414"/>
    </row>
    <row r="7" spans="1:6" ht="15" customHeight="1" x14ac:dyDescent="0.25">
      <c r="A7" s="407" t="s">
        <v>108</v>
      </c>
      <c r="B7" s="415">
        <v>1075948</v>
      </c>
      <c r="C7" s="415">
        <v>1188290</v>
      </c>
      <c r="D7" s="416">
        <f t="shared" ref="D7:D9" si="0">B7+C7</f>
        <v>2264238</v>
      </c>
      <c r="E7" s="414"/>
    </row>
    <row r="8" spans="1:6" ht="15" customHeight="1" x14ac:dyDescent="0.25">
      <c r="A8" s="407" t="s">
        <v>4</v>
      </c>
      <c r="B8" s="415">
        <v>910113</v>
      </c>
      <c r="C8" s="415">
        <v>3143470</v>
      </c>
      <c r="D8" s="416">
        <f t="shared" si="0"/>
        <v>4053583</v>
      </c>
      <c r="E8" s="414"/>
    </row>
    <row r="9" spans="1:6" ht="15" customHeight="1" x14ac:dyDescent="0.25">
      <c r="A9" s="407" t="s">
        <v>6</v>
      </c>
      <c r="B9" s="415">
        <v>2978333</v>
      </c>
      <c r="C9" s="415">
        <v>5302088</v>
      </c>
      <c r="D9" s="416">
        <f t="shared" si="0"/>
        <v>8280421</v>
      </c>
      <c r="E9" s="414"/>
    </row>
    <row r="10" spans="1:6" ht="15" customHeight="1" x14ac:dyDescent="0.25">
      <c r="A10" s="408" t="s">
        <v>30</v>
      </c>
      <c r="B10" s="417">
        <f>SUM(B6:B9)</f>
        <v>5639048</v>
      </c>
      <c r="C10" s="417">
        <f t="shared" ref="C10:D10" si="1">SUM(C6:C9)</f>
        <v>10490706</v>
      </c>
      <c r="D10" s="417">
        <f t="shared" si="1"/>
        <v>16129754</v>
      </c>
      <c r="E10" s="414"/>
    </row>
    <row r="11" spans="1:6" x14ac:dyDescent="0.25">
      <c r="A11" s="407" t="s">
        <v>270</v>
      </c>
      <c r="B11" s="72"/>
      <c r="C11" s="72"/>
      <c r="D11" s="72"/>
    </row>
    <row r="14" spans="1:6" ht="15" customHeight="1" x14ac:dyDescent="0.25">
      <c r="A14" s="400" t="s">
        <v>275</v>
      </c>
    </row>
    <row r="15" spans="1:6" x14ac:dyDescent="0.25">
      <c r="A15" s="400"/>
    </row>
    <row r="16" spans="1:6" x14ac:dyDescent="0.25">
      <c r="A16" s="409"/>
      <c r="B16" s="445">
        <f>C16-1</f>
        <v>2019</v>
      </c>
      <c r="C16" s="445">
        <f>D16-1</f>
        <v>2020</v>
      </c>
      <c r="D16" s="445">
        <f>E16-1</f>
        <v>2021</v>
      </c>
      <c r="E16" s="445">
        <f>F16-1</f>
        <v>2022</v>
      </c>
      <c r="F16" s="445">
        <v>2023</v>
      </c>
    </row>
    <row r="17" spans="1:6" ht="15" customHeight="1" x14ac:dyDescent="0.25">
      <c r="A17" s="407" t="s">
        <v>5</v>
      </c>
      <c r="B17" s="446">
        <v>525684</v>
      </c>
      <c r="C17" s="446">
        <v>595810</v>
      </c>
      <c r="D17" s="446">
        <v>667080</v>
      </c>
      <c r="E17" s="455">
        <v>635340</v>
      </c>
      <c r="F17" s="455">
        <v>674654</v>
      </c>
    </row>
    <row r="18" spans="1:6" ht="15" customHeight="1" x14ac:dyDescent="0.25">
      <c r="A18" s="407" t="s">
        <v>108</v>
      </c>
      <c r="B18" s="446">
        <v>673475</v>
      </c>
      <c r="C18" s="446">
        <v>696342</v>
      </c>
      <c r="D18" s="446">
        <v>813256</v>
      </c>
      <c r="E18" s="455">
        <v>1007127</v>
      </c>
      <c r="F18" s="455">
        <v>1075948</v>
      </c>
    </row>
    <row r="19" spans="1:6" ht="15" customHeight="1" x14ac:dyDescent="0.25">
      <c r="A19" s="407" t="s">
        <v>4</v>
      </c>
      <c r="B19" s="446">
        <v>700078</v>
      </c>
      <c r="C19" s="446">
        <v>925447</v>
      </c>
      <c r="D19" s="446">
        <v>871308</v>
      </c>
      <c r="E19" s="446">
        <v>907851</v>
      </c>
      <c r="F19" s="446">
        <v>910113</v>
      </c>
    </row>
    <row r="20" spans="1:6" ht="15" customHeight="1" x14ac:dyDescent="0.25">
      <c r="A20" s="407" t="s">
        <v>6</v>
      </c>
      <c r="B20" s="446">
        <v>2404845</v>
      </c>
      <c r="C20" s="446">
        <v>2536539</v>
      </c>
      <c r="D20" s="446">
        <v>2962552</v>
      </c>
      <c r="E20" s="446">
        <v>3326012</v>
      </c>
      <c r="F20" s="446">
        <v>2978333</v>
      </c>
    </row>
    <row r="21" spans="1:6" ht="15" customHeight="1" x14ac:dyDescent="0.25">
      <c r="A21" s="408" t="s">
        <v>30</v>
      </c>
      <c r="B21" s="447">
        <f>SUM(B17:B20)</f>
        <v>4304082</v>
      </c>
      <c r="C21" s="447">
        <f t="shared" ref="C21:E21" si="2">SUM(C17:C20)</f>
        <v>4754138</v>
      </c>
      <c r="D21" s="447">
        <f t="shared" si="2"/>
        <v>5314196</v>
      </c>
      <c r="E21" s="447">
        <f t="shared" si="2"/>
        <v>5876330</v>
      </c>
      <c r="F21" s="447">
        <f>SUM(F17:F20)</f>
        <v>5639048</v>
      </c>
    </row>
    <row r="22" spans="1:6" s="464" customFormat="1" x14ac:dyDescent="0.25">
      <c r="A22" s="407" t="s">
        <v>276</v>
      </c>
    </row>
    <row r="23" spans="1:6" x14ac:dyDescent="0.25">
      <c r="F23" s="455"/>
    </row>
    <row r="25" spans="1:6" ht="15" customHeight="1" x14ac:dyDescent="0.25">
      <c r="A25" s="400" t="s">
        <v>274</v>
      </c>
    </row>
    <row r="27" spans="1:6" x14ac:dyDescent="0.25">
      <c r="A27" s="409"/>
      <c r="B27" s="410">
        <f>C27-1</f>
        <v>2019</v>
      </c>
      <c r="C27" s="410">
        <f>D27-1</f>
        <v>2020</v>
      </c>
      <c r="D27" s="410">
        <f>E27-1</f>
        <v>2021</v>
      </c>
      <c r="E27" s="410">
        <f>F27-1</f>
        <v>2022</v>
      </c>
      <c r="F27" s="410">
        <v>2023</v>
      </c>
    </row>
    <row r="28" spans="1:6" ht="15" customHeight="1" x14ac:dyDescent="0.25">
      <c r="A28" s="407" t="s">
        <v>5</v>
      </c>
      <c r="B28" s="444">
        <v>47.303688666205943</v>
      </c>
      <c r="C28" s="444">
        <v>46.914394871156873</v>
      </c>
      <c r="D28" s="444">
        <v>47.087499999999999</v>
      </c>
      <c r="E28" s="444">
        <v>41.814799999999998</v>
      </c>
      <c r="F28" s="444">
        <v>44.05</v>
      </c>
    </row>
    <row r="29" spans="1:6" ht="15" customHeight="1" x14ac:dyDescent="0.25">
      <c r="A29" s="407" t="s">
        <v>108</v>
      </c>
      <c r="B29" s="444">
        <v>46.359970482712285</v>
      </c>
      <c r="C29" s="444">
        <v>45.998570516978745</v>
      </c>
      <c r="D29" s="444">
        <v>44.336399999999998</v>
      </c>
      <c r="E29" s="444">
        <v>46.244999999999997</v>
      </c>
      <c r="F29" s="444">
        <v>47.519199999999998</v>
      </c>
    </row>
    <row r="30" spans="1:6" ht="15" customHeight="1" x14ac:dyDescent="0.25">
      <c r="A30" s="407" t="s">
        <v>4</v>
      </c>
      <c r="B30" s="444">
        <v>48.432082264487192</v>
      </c>
      <c r="C30" s="444">
        <v>54.429382139670679</v>
      </c>
      <c r="D30" s="444">
        <v>22.439070871839906</v>
      </c>
      <c r="E30" s="444">
        <v>22.530182494649445</v>
      </c>
      <c r="F30" s="444">
        <v>22.452062780014618</v>
      </c>
    </row>
    <row r="31" spans="1:6" ht="15" customHeight="1" x14ac:dyDescent="0.25">
      <c r="A31" s="407" t="s">
        <v>6</v>
      </c>
      <c r="B31" s="444">
        <v>43.720225607268532</v>
      </c>
      <c r="C31" s="444">
        <v>41.718231845200357</v>
      </c>
      <c r="D31" s="444">
        <v>43.449149254924336</v>
      </c>
      <c r="E31" s="444">
        <v>40.675892454111072</v>
      </c>
      <c r="F31" s="444">
        <v>35.968376487137547</v>
      </c>
    </row>
    <row r="32" spans="1:6" ht="15" customHeight="1" x14ac:dyDescent="0.25">
      <c r="A32" s="408" t="s">
        <v>30</v>
      </c>
      <c r="B32" s="411">
        <v>45</v>
      </c>
      <c r="C32" s="411">
        <v>45</v>
      </c>
      <c r="D32" s="411">
        <v>38</v>
      </c>
      <c r="E32" s="411">
        <v>37</v>
      </c>
      <c r="F32" s="411">
        <v>35</v>
      </c>
    </row>
    <row r="33" spans="1:6" x14ac:dyDescent="0.25">
      <c r="A33" s="407" t="s">
        <v>276</v>
      </c>
    </row>
    <row r="35" spans="1:6" x14ac:dyDescent="0.25">
      <c r="A35" s="407"/>
      <c r="B35" s="412"/>
      <c r="C35" s="412"/>
      <c r="D35" s="412"/>
      <c r="E35" s="412"/>
      <c r="F35" s="412"/>
    </row>
    <row r="36" spans="1:6" x14ac:dyDescent="0.25">
      <c r="A36" s="407"/>
      <c r="B36" s="413"/>
      <c r="C36" s="412"/>
      <c r="D36" s="412"/>
      <c r="E36" s="412"/>
      <c r="F36" s="412"/>
    </row>
    <row r="37" spans="1:6" x14ac:dyDescent="0.25">
      <c r="A37" s="407"/>
      <c r="B37" s="413"/>
      <c r="C37" s="412"/>
      <c r="D37" s="412"/>
      <c r="E37" s="412"/>
      <c r="F37" s="412"/>
    </row>
    <row r="40" spans="1:6" x14ac:dyDescent="0.25">
      <c r="F40" s="401" t="s">
        <v>137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4"/>
  <sheetViews>
    <sheetView showGridLines="0" zoomScale="115" zoomScaleNormal="115" workbookViewId="0"/>
  </sheetViews>
  <sheetFormatPr baseColWidth="10" defaultColWidth="11.44140625" defaultRowHeight="11.25" customHeight="1" x14ac:dyDescent="0.25"/>
  <cols>
    <col min="1" max="1" width="41.44140625" style="55" customWidth="1"/>
    <col min="2" max="2" width="9" style="103" bestFit="1" customWidth="1"/>
    <col min="3" max="3" width="9.44140625" style="103" customWidth="1"/>
    <col min="4" max="4" width="8.88671875" style="103" bestFit="1" customWidth="1"/>
    <col min="5" max="5" width="11.44140625" style="103" customWidth="1"/>
    <col min="6" max="6" width="8.5546875" style="55" customWidth="1"/>
    <col min="7" max="7" width="9.44140625" style="55" customWidth="1"/>
    <col min="8" max="8" width="7.5546875" style="58" customWidth="1"/>
    <col min="9" max="9" width="13.44140625" style="58" customWidth="1"/>
    <col min="10" max="10" width="2.5546875" style="12" customWidth="1"/>
    <col min="11" max="11" width="7.5546875" style="12" customWidth="1"/>
    <col min="12" max="12" width="10.5546875" style="12" customWidth="1"/>
    <col min="13" max="13" width="6" style="55" bestFit="1" customWidth="1"/>
    <col min="14" max="14" width="8.5546875" style="55" bestFit="1" customWidth="1"/>
    <col min="15" max="15" width="12.5546875" style="55" customWidth="1"/>
    <col min="16" max="16" width="10" style="54" customWidth="1"/>
    <col min="17" max="248" width="11.44140625" style="55"/>
    <col min="249" max="249" width="43.109375" style="55" customWidth="1"/>
    <col min="250" max="250" width="10.5546875" style="55" customWidth="1"/>
    <col min="251" max="251" width="10" style="55" bestFit="1" customWidth="1"/>
    <col min="252" max="252" width="9.109375" style="55" customWidth="1"/>
    <col min="253" max="253" width="7" style="55" customWidth="1"/>
    <col min="254" max="254" width="10.5546875" style="55" bestFit="1" customWidth="1"/>
    <col min="255" max="255" width="11.88671875" style="55" bestFit="1" customWidth="1"/>
    <col min="256" max="257" width="11" style="55" bestFit="1" customWidth="1"/>
    <col min="258" max="258" width="10.88671875" style="55" bestFit="1" customWidth="1"/>
    <col min="259" max="259" width="9.109375" style="55" bestFit="1" customWidth="1"/>
    <col min="260" max="261" width="11.5546875" style="55" customWidth="1"/>
    <col min="262" max="262" width="14.44140625" style="55" customWidth="1"/>
    <col min="263" max="263" width="8.5546875" style="55" customWidth="1"/>
    <col min="264" max="265" width="11.44140625" style="55" customWidth="1"/>
    <col min="266" max="504" width="11.44140625" style="55"/>
    <col min="505" max="505" width="43.109375" style="55" customWidth="1"/>
    <col min="506" max="506" width="10.5546875" style="55" customWidth="1"/>
    <col min="507" max="507" width="10" style="55" bestFit="1" customWidth="1"/>
    <col min="508" max="508" width="9.109375" style="55" customWidth="1"/>
    <col min="509" max="509" width="7" style="55" customWidth="1"/>
    <col min="510" max="510" width="10.5546875" style="55" bestFit="1" customWidth="1"/>
    <col min="511" max="511" width="11.88671875" style="55" bestFit="1" customWidth="1"/>
    <col min="512" max="513" width="11" style="55" bestFit="1" customWidth="1"/>
    <col min="514" max="514" width="10.88671875" style="55" bestFit="1" customWidth="1"/>
    <col min="515" max="515" width="9.109375" style="55" bestFit="1" customWidth="1"/>
    <col min="516" max="517" width="11.5546875" style="55" customWidth="1"/>
    <col min="518" max="518" width="14.44140625" style="55" customWidth="1"/>
    <col min="519" max="519" width="8.5546875" style="55" customWidth="1"/>
    <col min="520" max="521" width="11.44140625" style="55" customWidth="1"/>
    <col min="522" max="760" width="11.44140625" style="55"/>
    <col min="761" max="761" width="43.109375" style="55" customWidth="1"/>
    <col min="762" max="762" width="10.5546875" style="55" customWidth="1"/>
    <col min="763" max="763" width="10" style="55" bestFit="1" customWidth="1"/>
    <col min="764" max="764" width="9.109375" style="55" customWidth="1"/>
    <col min="765" max="765" width="7" style="55" customWidth="1"/>
    <col min="766" max="766" width="10.5546875" style="55" bestFit="1" customWidth="1"/>
    <col min="767" max="767" width="11.88671875" style="55" bestFit="1" customWidth="1"/>
    <col min="768" max="769" width="11" style="55" bestFit="1" customWidth="1"/>
    <col min="770" max="770" width="10.88671875" style="55" bestFit="1" customWidth="1"/>
    <col min="771" max="771" width="9.109375" style="55" bestFit="1" customWidth="1"/>
    <col min="772" max="773" width="11.5546875" style="55" customWidth="1"/>
    <col min="774" max="774" width="14.44140625" style="55" customWidth="1"/>
    <col min="775" max="775" width="8.5546875" style="55" customWidth="1"/>
    <col min="776" max="777" width="11.44140625" style="55" customWidth="1"/>
    <col min="778" max="1016" width="11.44140625" style="55"/>
    <col min="1017" max="1017" width="43.109375" style="55" customWidth="1"/>
    <col min="1018" max="1018" width="10.5546875" style="55" customWidth="1"/>
    <col min="1019" max="1019" width="10" style="55" bestFit="1" customWidth="1"/>
    <col min="1020" max="1020" width="9.109375" style="55" customWidth="1"/>
    <col min="1021" max="1021" width="7" style="55" customWidth="1"/>
    <col min="1022" max="1022" width="10.5546875" style="55" bestFit="1" customWidth="1"/>
    <col min="1023" max="1023" width="11.88671875" style="55" bestFit="1" customWidth="1"/>
    <col min="1024" max="1025" width="11" style="55" bestFit="1" customWidth="1"/>
    <col min="1026" max="1026" width="10.88671875" style="55" bestFit="1" customWidth="1"/>
    <col min="1027" max="1027" width="9.109375" style="55" bestFit="1" customWidth="1"/>
    <col min="1028" max="1029" width="11.5546875" style="55" customWidth="1"/>
    <col min="1030" max="1030" width="14.44140625" style="55" customWidth="1"/>
    <col min="1031" max="1031" width="8.5546875" style="55" customWidth="1"/>
    <col min="1032" max="1033" width="11.44140625" style="55" customWidth="1"/>
    <col min="1034" max="1272" width="11.44140625" style="55"/>
    <col min="1273" max="1273" width="43.109375" style="55" customWidth="1"/>
    <col min="1274" max="1274" width="10.5546875" style="55" customWidth="1"/>
    <col min="1275" max="1275" width="10" style="55" bestFit="1" customWidth="1"/>
    <col min="1276" max="1276" width="9.109375" style="55" customWidth="1"/>
    <col min="1277" max="1277" width="7" style="55" customWidth="1"/>
    <col min="1278" max="1278" width="10.5546875" style="55" bestFit="1" customWidth="1"/>
    <col min="1279" max="1279" width="11.88671875" style="55" bestFit="1" customWidth="1"/>
    <col min="1280" max="1281" width="11" style="55" bestFit="1" customWidth="1"/>
    <col min="1282" max="1282" width="10.88671875" style="55" bestFit="1" customWidth="1"/>
    <col min="1283" max="1283" width="9.109375" style="55" bestFit="1" customWidth="1"/>
    <col min="1284" max="1285" width="11.5546875" style="55" customWidth="1"/>
    <col min="1286" max="1286" width="14.44140625" style="55" customWidth="1"/>
    <col min="1287" max="1287" width="8.5546875" style="55" customWidth="1"/>
    <col min="1288" max="1289" width="11.44140625" style="55" customWidth="1"/>
    <col min="1290" max="1528" width="11.44140625" style="55"/>
    <col min="1529" max="1529" width="43.109375" style="55" customWidth="1"/>
    <col min="1530" max="1530" width="10.5546875" style="55" customWidth="1"/>
    <col min="1531" max="1531" width="10" style="55" bestFit="1" customWidth="1"/>
    <col min="1532" max="1532" width="9.109375" style="55" customWidth="1"/>
    <col min="1533" max="1533" width="7" style="55" customWidth="1"/>
    <col min="1534" max="1534" width="10.5546875" style="55" bestFit="1" customWidth="1"/>
    <col min="1535" max="1535" width="11.88671875" style="55" bestFit="1" customWidth="1"/>
    <col min="1536" max="1537" width="11" style="55" bestFit="1" customWidth="1"/>
    <col min="1538" max="1538" width="10.88671875" style="55" bestFit="1" customWidth="1"/>
    <col min="1539" max="1539" width="9.109375" style="55" bestFit="1" customWidth="1"/>
    <col min="1540" max="1541" width="11.5546875" style="55" customWidth="1"/>
    <col min="1542" max="1542" width="14.44140625" style="55" customWidth="1"/>
    <col min="1543" max="1543" width="8.5546875" style="55" customWidth="1"/>
    <col min="1544" max="1545" width="11.44140625" style="55" customWidth="1"/>
    <col min="1546" max="1784" width="11.44140625" style="55"/>
    <col min="1785" max="1785" width="43.109375" style="55" customWidth="1"/>
    <col min="1786" max="1786" width="10.5546875" style="55" customWidth="1"/>
    <col min="1787" max="1787" width="10" style="55" bestFit="1" customWidth="1"/>
    <col min="1788" max="1788" width="9.109375" style="55" customWidth="1"/>
    <col min="1789" max="1789" width="7" style="55" customWidth="1"/>
    <col min="1790" max="1790" width="10.5546875" style="55" bestFit="1" customWidth="1"/>
    <col min="1791" max="1791" width="11.88671875" style="55" bestFit="1" customWidth="1"/>
    <col min="1792" max="1793" width="11" style="55" bestFit="1" customWidth="1"/>
    <col min="1794" max="1794" width="10.88671875" style="55" bestFit="1" customWidth="1"/>
    <col min="1795" max="1795" width="9.109375" style="55" bestFit="1" customWidth="1"/>
    <col min="1796" max="1797" width="11.5546875" style="55" customWidth="1"/>
    <col min="1798" max="1798" width="14.44140625" style="55" customWidth="1"/>
    <col min="1799" max="1799" width="8.5546875" style="55" customWidth="1"/>
    <col min="1800" max="1801" width="11.44140625" style="55" customWidth="1"/>
    <col min="1802" max="2040" width="11.44140625" style="55"/>
    <col min="2041" max="2041" width="43.109375" style="55" customWidth="1"/>
    <col min="2042" max="2042" width="10.5546875" style="55" customWidth="1"/>
    <col min="2043" max="2043" width="10" style="55" bestFit="1" customWidth="1"/>
    <col min="2044" max="2044" width="9.109375" style="55" customWidth="1"/>
    <col min="2045" max="2045" width="7" style="55" customWidth="1"/>
    <col min="2046" max="2046" width="10.5546875" style="55" bestFit="1" customWidth="1"/>
    <col min="2047" max="2047" width="11.88671875" style="55" bestFit="1" customWidth="1"/>
    <col min="2048" max="2049" width="11" style="55" bestFit="1" customWidth="1"/>
    <col min="2050" max="2050" width="10.88671875" style="55" bestFit="1" customWidth="1"/>
    <col min="2051" max="2051" width="9.109375" style="55" bestFit="1" customWidth="1"/>
    <col min="2052" max="2053" width="11.5546875" style="55" customWidth="1"/>
    <col min="2054" max="2054" width="14.44140625" style="55" customWidth="1"/>
    <col min="2055" max="2055" width="8.5546875" style="55" customWidth="1"/>
    <col min="2056" max="2057" width="11.44140625" style="55" customWidth="1"/>
    <col min="2058" max="2296" width="11.44140625" style="55"/>
    <col min="2297" max="2297" width="43.109375" style="55" customWidth="1"/>
    <col min="2298" max="2298" width="10.5546875" style="55" customWidth="1"/>
    <col min="2299" max="2299" width="10" style="55" bestFit="1" customWidth="1"/>
    <col min="2300" max="2300" width="9.109375" style="55" customWidth="1"/>
    <col min="2301" max="2301" width="7" style="55" customWidth="1"/>
    <col min="2302" max="2302" width="10.5546875" style="55" bestFit="1" customWidth="1"/>
    <col min="2303" max="2303" width="11.88671875" style="55" bestFit="1" customWidth="1"/>
    <col min="2304" max="2305" width="11" style="55" bestFit="1" customWidth="1"/>
    <col min="2306" max="2306" width="10.88671875" style="55" bestFit="1" customWidth="1"/>
    <col min="2307" max="2307" width="9.109375" style="55" bestFit="1" customWidth="1"/>
    <col min="2308" max="2309" width="11.5546875" style="55" customWidth="1"/>
    <col min="2310" max="2310" width="14.44140625" style="55" customWidth="1"/>
    <col min="2311" max="2311" width="8.5546875" style="55" customWidth="1"/>
    <col min="2312" max="2313" width="11.44140625" style="55" customWidth="1"/>
    <col min="2314" max="2552" width="11.44140625" style="55"/>
    <col min="2553" max="2553" width="43.109375" style="55" customWidth="1"/>
    <col min="2554" max="2554" width="10.5546875" style="55" customWidth="1"/>
    <col min="2555" max="2555" width="10" style="55" bestFit="1" customWidth="1"/>
    <col min="2556" max="2556" width="9.109375" style="55" customWidth="1"/>
    <col min="2557" max="2557" width="7" style="55" customWidth="1"/>
    <col min="2558" max="2558" width="10.5546875" style="55" bestFit="1" customWidth="1"/>
    <col min="2559" max="2559" width="11.88671875" style="55" bestFit="1" customWidth="1"/>
    <col min="2560" max="2561" width="11" style="55" bestFit="1" customWidth="1"/>
    <col min="2562" max="2562" width="10.88671875" style="55" bestFit="1" customWidth="1"/>
    <col min="2563" max="2563" width="9.109375" style="55" bestFit="1" customWidth="1"/>
    <col min="2564" max="2565" width="11.5546875" style="55" customWidth="1"/>
    <col min="2566" max="2566" width="14.44140625" style="55" customWidth="1"/>
    <col min="2567" max="2567" width="8.5546875" style="55" customWidth="1"/>
    <col min="2568" max="2569" width="11.44140625" style="55" customWidth="1"/>
    <col min="2570" max="2808" width="11.44140625" style="55"/>
    <col min="2809" max="2809" width="43.109375" style="55" customWidth="1"/>
    <col min="2810" max="2810" width="10.5546875" style="55" customWidth="1"/>
    <col min="2811" max="2811" width="10" style="55" bestFit="1" customWidth="1"/>
    <col min="2812" max="2812" width="9.109375" style="55" customWidth="1"/>
    <col min="2813" max="2813" width="7" style="55" customWidth="1"/>
    <col min="2814" max="2814" width="10.5546875" style="55" bestFit="1" customWidth="1"/>
    <col min="2815" max="2815" width="11.88671875" style="55" bestFit="1" customWidth="1"/>
    <col min="2816" max="2817" width="11" style="55" bestFit="1" customWidth="1"/>
    <col min="2818" max="2818" width="10.88671875" style="55" bestFit="1" customWidth="1"/>
    <col min="2819" max="2819" width="9.109375" style="55" bestFit="1" customWidth="1"/>
    <col min="2820" max="2821" width="11.5546875" style="55" customWidth="1"/>
    <col min="2822" max="2822" width="14.44140625" style="55" customWidth="1"/>
    <col min="2823" max="2823" width="8.5546875" style="55" customWidth="1"/>
    <col min="2824" max="2825" width="11.44140625" style="55" customWidth="1"/>
    <col min="2826" max="3064" width="11.44140625" style="55"/>
    <col min="3065" max="3065" width="43.109375" style="55" customWidth="1"/>
    <col min="3066" max="3066" width="10.5546875" style="55" customWidth="1"/>
    <col min="3067" max="3067" width="10" style="55" bestFit="1" customWidth="1"/>
    <col min="3068" max="3068" width="9.109375" style="55" customWidth="1"/>
    <col min="3069" max="3069" width="7" style="55" customWidth="1"/>
    <col min="3070" max="3070" width="10.5546875" style="55" bestFit="1" customWidth="1"/>
    <col min="3071" max="3071" width="11.88671875" style="55" bestFit="1" customWidth="1"/>
    <col min="3072" max="3073" width="11" style="55" bestFit="1" customWidth="1"/>
    <col min="3074" max="3074" width="10.88671875" style="55" bestFit="1" customWidth="1"/>
    <col min="3075" max="3075" width="9.109375" style="55" bestFit="1" customWidth="1"/>
    <col min="3076" max="3077" width="11.5546875" style="55" customWidth="1"/>
    <col min="3078" max="3078" width="14.44140625" style="55" customWidth="1"/>
    <col min="3079" max="3079" width="8.5546875" style="55" customWidth="1"/>
    <col min="3080" max="3081" width="11.44140625" style="55" customWidth="1"/>
    <col min="3082" max="3320" width="11.44140625" style="55"/>
    <col min="3321" max="3321" width="43.109375" style="55" customWidth="1"/>
    <col min="3322" max="3322" width="10.5546875" style="55" customWidth="1"/>
    <col min="3323" max="3323" width="10" style="55" bestFit="1" customWidth="1"/>
    <col min="3324" max="3324" width="9.109375" style="55" customWidth="1"/>
    <col min="3325" max="3325" width="7" style="55" customWidth="1"/>
    <col min="3326" max="3326" width="10.5546875" style="55" bestFit="1" customWidth="1"/>
    <col min="3327" max="3327" width="11.88671875" style="55" bestFit="1" customWidth="1"/>
    <col min="3328" max="3329" width="11" style="55" bestFit="1" customWidth="1"/>
    <col min="3330" max="3330" width="10.88671875" style="55" bestFit="1" customWidth="1"/>
    <col min="3331" max="3331" width="9.109375" style="55" bestFit="1" customWidth="1"/>
    <col min="3332" max="3333" width="11.5546875" style="55" customWidth="1"/>
    <col min="3334" max="3334" width="14.44140625" style="55" customWidth="1"/>
    <col min="3335" max="3335" width="8.5546875" style="55" customWidth="1"/>
    <col min="3336" max="3337" width="11.44140625" style="55" customWidth="1"/>
    <col min="3338" max="3576" width="11.44140625" style="55"/>
    <col min="3577" max="3577" width="43.109375" style="55" customWidth="1"/>
    <col min="3578" max="3578" width="10.5546875" style="55" customWidth="1"/>
    <col min="3579" max="3579" width="10" style="55" bestFit="1" customWidth="1"/>
    <col min="3580" max="3580" width="9.109375" style="55" customWidth="1"/>
    <col min="3581" max="3581" width="7" style="55" customWidth="1"/>
    <col min="3582" max="3582" width="10.5546875" style="55" bestFit="1" customWidth="1"/>
    <col min="3583" max="3583" width="11.88671875" style="55" bestFit="1" customWidth="1"/>
    <col min="3584" max="3585" width="11" style="55" bestFit="1" customWidth="1"/>
    <col min="3586" max="3586" width="10.88671875" style="55" bestFit="1" customWidth="1"/>
    <col min="3587" max="3587" width="9.109375" style="55" bestFit="1" customWidth="1"/>
    <col min="3588" max="3589" width="11.5546875" style="55" customWidth="1"/>
    <col min="3590" max="3590" width="14.44140625" style="55" customWidth="1"/>
    <col min="3591" max="3591" width="8.5546875" style="55" customWidth="1"/>
    <col min="3592" max="3593" width="11.44140625" style="55" customWidth="1"/>
    <col min="3594" max="3832" width="11.44140625" style="55"/>
    <col min="3833" max="3833" width="43.109375" style="55" customWidth="1"/>
    <col min="3834" max="3834" width="10.5546875" style="55" customWidth="1"/>
    <col min="3835" max="3835" width="10" style="55" bestFit="1" customWidth="1"/>
    <col min="3836" max="3836" width="9.109375" style="55" customWidth="1"/>
    <col min="3837" max="3837" width="7" style="55" customWidth="1"/>
    <col min="3838" max="3838" width="10.5546875" style="55" bestFit="1" customWidth="1"/>
    <col min="3839" max="3839" width="11.88671875" style="55" bestFit="1" customWidth="1"/>
    <col min="3840" max="3841" width="11" style="55" bestFit="1" customWidth="1"/>
    <col min="3842" max="3842" width="10.88671875" style="55" bestFit="1" customWidth="1"/>
    <col min="3843" max="3843" width="9.109375" style="55" bestFit="1" customWidth="1"/>
    <col min="3844" max="3845" width="11.5546875" style="55" customWidth="1"/>
    <col min="3846" max="3846" width="14.44140625" style="55" customWidth="1"/>
    <col min="3847" max="3847" width="8.5546875" style="55" customWidth="1"/>
    <col min="3848" max="3849" width="11.44140625" style="55" customWidth="1"/>
    <col min="3850" max="4088" width="11.44140625" style="55"/>
    <col min="4089" max="4089" width="43.109375" style="55" customWidth="1"/>
    <col min="4090" max="4090" width="10.5546875" style="55" customWidth="1"/>
    <col min="4091" max="4091" width="10" style="55" bestFit="1" customWidth="1"/>
    <col min="4092" max="4092" width="9.109375" style="55" customWidth="1"/>
    <col min="4093" max="4093" width="7" style="55" customWidth="1"/>
    <col min="4094" max="4094" width="10.5546875" style="55" bestFit="1" customWidth="1"/>
    <col min="4095" max="4095" width="11.88671875" style="55" bestFit="1" customWidth="1"/>
    <col min="4096" max="4097" width="11" style="55" bestFit="1" customWidth="1"/>
    <col min="4098" max="4098" width="10.88671875" style="55" bestFit="1" customWidth="1"/>
    <col min="4099" max="4099" width="9.109375" style="55" bestFit="1" customWidth="1"/>
    <col min="4100" max="4101" width="11.5546875" style="55" customWidth="1"/>
    <col min="4102" max="4102" width="14.44140625" style="55" customWidth="1"/>
    <col min="4103" max="4103" width="8.5546875" style="55" customWidth="1"/>
    <col min="4104" max="4105" width="11.44140625" style="55" customWidth="1"/>
    <col min="4106" max="4344" width="11.44140625" style="55"/>
    <col min="4345" max="4345" width="43.109375" style="55" customWidth="1"/>
    <col min="4346" max="4346" width="10.5546875" style="55" customWidth="1"/>
    <col min="4347" max="4347" width="10" style="55" bestFit="1" customWidth="1"/>
    <col min="4348" max="4348" width="9.109375" style="55" customWidth="1"/>
    <col min="4349" max="4349" width="7" style="55" customWidth="1"/>
    <col min="4350" max="4350" width="10.5546875" style="55" bestFit="1" customWidth="1"/>
    <col min="4351" max="4351" width="11.88671875" style="55" bestFit="1" customWidth="1"/>
    <col min="4352" max="4353" width="11" style="55" bestFit="1" customWidth="1"/>
    <col min="4354" max="4354" width="10.88671875" style="55" bestFit="1" customWidth="1"/>
    <col min="4355" max="4355" width="9.109375" style="55" bestFit="1" customWidth="1"/>
    <col min="4356" max="4357" width="11.5546875" style="55" customWidth="1"/>
    <col min="4358" max="4358" width="14.44140625" style="55" customWidth="1"/>
    <col min="4359" max="4359" width="8.5546875" style="55" customWidth="1"/>
    <col min="4360" max="4361" width="11.44140625" style="55" customWidth="1"/>
    <col min="4362" max="4600" width="11.44140625" style="55"/>
    <col min="4601" max="4601" width="43.109375" style="55" customWidth="1"/>
    <col min="4602" max="4602" width="10.5546875" style="55" customWidth="1"/>
    <col min="4603" max="4603" width="10" style="55" bestFit="1" customWidth="1"/>
    <col min="4604" max="4604" width="9.109375" style="55" customWidth="1"/>
    <col min="4605" max="4605" width="7" style="55" customWidth="1"/>
    <col min="4606" max="4606" width="10.5546875" style="55" bestFit="1" customWidth="1"/>
    <col min="4607" max="4607" width="11.88671875" style="55" bestFit="1" customWidth="1"/>
    <col min="4608" max="4609" width="11" style="55" bestFit="1" customWidth="1"/>
    <col min="4610" max="4610" width="10.88671875" style="55" bestFit="1" customWidth="1"/>
    <col min="4611" max="4611" width="9.109375" style="55" bestFit="1" customWidth="1"/>
    <col min="4612" max="4613" width="11.5546875" style="55" customWidth="1"/>
    <col min="4614" max="4614" width="14.44140625" style="55" customWidth="1"/>
    <col min="4615" max="4615" width="8.5546875" style="55" customWidth="1"/>
    <col min="4616" max="4617" width="11.44140625" style="55" customWidth="1"/>
    <col min="4618" max="4856" width="11.44140625" style="55"/>
    <col min="4857" max="4857" width="43.109375" style="55" customWidth="1"/>
    <col min="4858" max="4858" width="10.5546875" style="55" customWidth="1"/>
    <col min="4859" max="4859" width="10" style="55" bestFit="1" customWidth="1"/>
    <col min="4860" max="4860" width="9.109375" style="55" customWidth="1"/>
    <col min="4861" max="4861" width="7" style="55" customWidth="1"/>
    <col min="4862" max="4862" width="10.5546875" style="55" bestFit="1" customWidth="1"/>
    <col min="4863" max="4863" width="11.88671875" style="55" bestFit="1" customWidth="1"/>
    <col min="4864" max="4865" width="11" style="55" bestFit="1" customWidth="1"/>
    <col min="4866" max="4866" width="10.88671875" style="55" bestFit="1" customWidth="1"/>
    <col min="4867" max="4867" width="9.109375" style="55" bestFit="1" customWidth="1"/>
    <col min="4868" max="4869" width="11.5546875" style="55" customWidth="1"/>
    <col min="4870" max="4870" width="14.44140625" style="55" customWidth="1"/>
    <col min="4871" max="4871" width="8.5546875" style="55" customWidth="1"/>
    <col min="4872" max="4873" width="11.44140625" style="55" customWidth="1"/>
    <col min="4874" max="5112" width="11.44140625" style="55"/>
    <col min="5113" max="5113" width="43.109375" style="55" customWidth="1"/>
    <col min="5114" max="5114" width="10.5546875" style="55" customWidth="1"/>
    <col min="5115" max="5115" width="10" style="55" bestFit="1" customWidth="1"/>
    <col min="5116" max="5116" width="9.109375" style="55" customWidth="1"/>
    <col min="5117" max="5117" width="7" style="55" customWidth="1"/>
    <col min="5118" max="5118" width="10.5546875" style="55" bestFit="1" customWidth="1"/>
    <col min="5119" max="5119" width="11.88671875" style="55" bestFit="1" customWidth="1"/>
    <col min="5120" max="5121" width="11" style="55" bestFit="1" customWidth="1"/>
    <col min="5122" max="5122" width="10.88671875" style="55" bestFit="1" customWidth="1"/>
    <col min="5123" max="5123" width="9.109375" style="55" bestFit="1" customWidth="1"/>
    <col min="5124" max="5125" width="11.5546875" style="55" customWidth="1"/>
    <col min="5126" max="5126" width="14.44140625" style="55" customWidth="1"/>
    <col min="5127" max="5127" width="8.5546875" style="55" customWidth="1"/>
    <col min="5128" max="5129" width="11.44140625" style="55" customWidth="1"/>
    <col min="5130" max="5368" width="11.44140625" style="55"/>
    <col min="5369" max="5369" width="43.109375" style="55" customWidth="1"/>
    <col min="5370" max="5370" width="10.5546875" style="55" customWidth="1"/>
    <col min="5371" max="5371" width="10" style="55" bestFit="1" customWidth="1"/>
    <col min="5372" max="5372" width="9.109375" style="55" customWidth="1"/>
    <col min="5373" max="5373" width="7" style="55" customWidth="1"/>
    <col min="5374" max="5374" width="10.5546875" style="55" bestFit="1" customWidth="1"/>
    <col min="5375" max="5375" width="11.88671875" style="55" bestFit="1" customWidth="1"/>
    <col min="5376" max="5377" width="11" style="55" bestFit="1" customWidth="1"/>
    <col min="5378" max="5378" width="10.88671875" style="55" bestFit="1" customWidth="1"/>
    <col min="5379" max="5379" width="9.109375" style="55" bestFit="1" customWidth="1"/>
    <col min="5380" max="5381" width="11.5546875" style="55" customWidth="1"/>
    <col min="5382" max="5382" width="14.44140625" style="55" customWidth="1"/>
    <col min="5383" max="5383" width="8.5546875" style="55" customWidth="1"/>
    <col min="5384" max="5385" width="11.44140625" style="55" customWidth="1"/>
    <col min="5386" max="5624" width="11.44140625" style="55"/>
    <col min="5625" max="5625" width="43.109375" style="55" customWidth="1"/>
    <col min="5626" max="5626" width="10.5546875" style="55" customWidth="1"/>
    <col min="5627" max="5627" width="10" style="55" bestFit="1" customWidth="1"/>
    <col min="5628" max="5628" width="9.109375" style="55" customWidth="1"/>
    <col min="5629" max="5629" width="7" style="55" customWidth="1"/>
    <col min="5630" max="5630" width="10.5546875" style="55" bestFit="1" customWidth="1"/>
    <col min="5631" max="5631" width="11.88671875" style="55" bestFit="1" customWidth="1"/>
    <col min="5632" max="5633" width="11" style="55" bestFit="1" customWidth="1"/>
    <col min="5634" max="5634" width="10.88671875" style="55" bestFit="1" customWidth="1"/>
    <col min="5635" max="5635" width="9.109375" style="55" bestFit="1" customWidth="1"/>
    <col min="5636" max="5637" width="11.5546875" style="55" customWidth="1"/>
    <col min="5638" max="5638" width="14.44140625" style="55" customWidth="1"/>
    <col min="5639" max="5639" width="8.5546875" style="55" customWidth="1"/>
    <col min="5640" max="5641" width="11.44140625" style="55" customWidth="1"/>
    <col min="5642" max="5880" width="11.44140625" style="55"/>
    <col min="5881" max="5881" width="43.109375" style="55" customWidth="1"/>
    <col min="5882" max="5882" width="10.5546875" style="55" customWidth="1"/>
    <col min="5883" max="5883" width="10" style="55" bestFit="1" customWidth="1"/>
    <col min="5884" max="5884" width="9.109375" style="55" customWidth="1"/>
    <col min="5885" max="5885" width="7" style="55" customWidth="1"/>
    <col min="5886" max="5886" width="10.5546875" style="55" bestFit="1" customWidth="1"/>
    <col min="5887" max="5887" width="11.88671875" style="55" bestFit="1" customWidth="1"/>
    <col min="5888" max="5889" width="11" style="55" bestFit="1" customWidth="1"/>
    <col min="5890" max="5890" width="10.88671875" style="55" bestFit="1" customWidth="1"/>
    <col min="5891" max="5891" width="9.109375" style="55" bestFit="1" customWidth="1"/>
    <col min="5892" max="5893" width="11.5546875" style="55" customWidth="1"/>
    <col min="5894" max="5894" width="14.44140625" style="55" customWidth="1"/>
    <col min="5895" max="5895" width="8.5546875" style="55" customWidth="1"/>
    <col min="5896" max="5897" width="11.44140625" style="55" customWidth="1"/>
    <col min="5898" max="6136" width="11.44140625" style="55"/>
    <col min="6137" max="6137" width="43.109375" style="55" customWidth="1"/>
    <col min="6138" max="6138" width="10.5546875" style="55" customWidth="1"/>
    <col min="6139" max="6139" width="10" style="55" bestFit="1" customWidth="1"/>
    <col min="6140" max="6140" width="9.109375" style="55" customWidth="1"/>
    <col min="6141" max="6141" width="7" style="55" customWidth="1"/>
    <col min="6142" max="6142" width="10.5546875" style="55" bestFit="1" customWidth="1"/>
    <col min="6143" max="6143" width="11.88671875" style="55" bestFit="1" customWidth="1"/>
    <col min="6144" max="6145" width="11" style="55" bestFit="1" customWidth="1"/>
    <col min="6146" max="6146" width="10.88671875" style="55" bestFit="1" customWidth="1"/>
    <col min="6147" max="6147" width="9.109375" style="55" bestFit="1" customWidth="1"/>
    <col min="6148" max="6149" width="11.5546875" style="55" customWidth="1"/>
    <col min="6150" max="6150" width="14.44140625" style="55" customWidth="1"/>
    <col min="6151" max="6151" width="8.5546875" style="55" customWidth="1"/>
    <col min="6152" max="6153" width="11.44140625" style="55" customWidth="1"/>
    <col min="6154" max="6392" width="11.44140625" style="55"/>
    <col min="6393" max="6393" width="43.109375" style="55" customWidth="1"/>
    <col min="6394" max="6394" width="10.5546875" style="55" customWidth="1"/>
    <col min="6395" max="6395" width="10" style="55" bestFit="1" customWidth="1"/>
    <col min="6396" max="6396" width="9.109375" style="55" customWidth="1"/>
    <col min="6397" max="6397" width="7" style="55" customWidth="1"/>
    <col min="6398" max="6398" width="10.5546875" style="55" bestFit="1" customWidth="1"/>
    <col min="6399" max="6399" width="11.88671875" style="55" bestFit="1" customWidth="1"/>
    <col min="6400" max="6401" width="11" style="55" bestFit="1" customWidth="1"/>
    <col min="6402" max="6402" width="10.88671875" style="55" bestFit="1" customWidth="1"/>
    <col min="6403" max="6403" width="9.109375" style="55" bestFit="1" customWidth="1"/>
    <col min="6404" max="6405" width="11.5546875" style="55" customWidth="1"/>
    <col min="6406" max="6406" width="14.44140625" style="55" customWidth="1"/>
    <col min="6407" max="6407" width="8.5546875" style="55" customWidth="1"/>
    <col min="6408" max="6409" width="11.44140625" style="55" customWidth="1"/>
    <col min="6410" max="6648" width="11.44140625" style="55"/>
    <col min="6649" max="6649" width="43.109375" style="55" customWidth="1"/>
    <col min="6650" max="6650" width="10.5546875" style="55" customWidth="1"/>
    <col min="6651" max="6651" width="10" style="55" bestFit="1" customWidth="1"/>
    <col min="6652" max="6652" width="9.109375" style="55" customWidth="1"/>
    <col min="6653" max="6653" width="7" style="55" customWidth="1"/>
    <col min="6654" max="6654" width="10.5546875" style="55" bestFit="1" customWidth="1"/>
    <col min="6655" max="6655" width="11.88671875" style="55" bestFit="1" customWidth="1"/>
    <col min="6656" max="6657" width="11" style="55" bestFit="1" customWidth="1"/>
    <col min="6658" max="6658" width="10.88671875" style="55" bestFit="1" customWidth="1"/>
    <col min="6659" max="6659" width="9.109375" style="55" bestFit="1" customWidth="1"/>
    <col min="6660" max="6661" width="11.5546875" style="55" customWidth="1"/>
    <col min="6662" max="6662" width="14.44140625" style="55" customWidth="1"/>
    <col min="6663" max="6663" width="8.5546875" style="55" customWidth="1"/>
    <col min="6664" max="6665" width="11.44140625" style="55" customWidth="1"/>
    <col min="6666" max="6904" width="11.44140625" style="55"/>
    <col min="6905" max="6905" width="43.109375" style="55" customWidth="1"/>
    <col min="6906" max="6906" width="10.5546875" style="55" customWidth="1"/>
    <col min="6907" max="6907" width="10" style="55" bestFit="1" customWidth="1"/>
    <col min="6908" max="6908" width="9.109375" style="55" customWidth="1"/>
    <col min="6909" max="6909" width="7" style="55" customWidth="1"/>
    <col min="6910" max="6910" width="10.5546875" style="55" bestFit="1" customWidth="1"/>
    <col min="6911" max="6911" width="11.88671875" style="55" bestFit="1" customWidth="1"/>
    <col min="6912" max="6913" width="11" style="55" bestFit="1" customWidth="1"/>
    <col min="6914" max="6914" width="10.88671875" style="55" bestFit="1" customWidth="1"/>
    <col min="6915" max="6915" width="9.109375" style="55" bestFit="1" customWidth="1"/>
    <col min="6916" max="6917" width="11.5546875" style="55" customWidth="1"/>
    <col min="6918" max="6918" width="14.44140625" style="55" customWidth="1"/>
    <col min="6919" max="6919" width="8.5546875" style="55" customWidth="1"/>
    <col min="6920" max="6921" width="11.44140625" style="55" customWidth="1"/>
    <col min="6922" max="7160" width="11.44140625" style="55"/>
    <col min="7161" max="7161" width="43.109375" style="55" customWidth="1"/>
    <col min="7162" max="7162" width="10.5546875" style="55" customWidth="1"/>
    <col min="7163" max="7163" width="10" style="55" bestFit="1" customWidth="1"/>
    <col min="7164" max="7164" width="9.109375" style="55" customWidth="1"/>
    <col min="7165" max="7165" width="7" style="55" customWidth="1"/>
    <col min="7166" max="7166" width="10.5546875" style="55" bestFit="1" customWidth="1"/>
    <col min="7167" max="7167" width="11.88671875" style="55" bestFit="1" customWidth="1"/>
    <col min="7168" max="7169" width="11" style="55" bestFit="1" customWidth="1"/>
    <col min="7170" max="7170" width="10.88671875" style="55" bestFit="1" customWidth="1"/>
    <col min="7171" max="7171" width="9.109375" style="55" bestFit="1" customWidth="1"/>
    <col min="7172" max="7173" width="11.5546875" style="55" customWidth="1"/>
    <col min="7174" max="7174" width="14.44140625" style="55" customWidth="1"/>
    <col min="7175" max="7175" width="8.5546875" style="55" customWidth="1"/>
    <col min="7176" max="7177" width="11.44140625" style="55" customWidth="1"/>
    <col min="7178" max="7416" width="11.44140625" style="55"/>
    <col min="7417" max="7417" width="43.109375" style="55" customWidth="1"/>
    <col min="7418" max="7418" width="10.5546875" style="55" customWidth="1"/>
    <col min="7419" max="7419" width="10" style="55" bestFit="1" customWidth="1"/>
    <col min="7420" max="7420" width="9.109375" style="55" customWidth="1"/>
    <col min="7421" max="7421" width="7" style="55" customWidth="1"/>
    <col min="7422" max="7422" width="10.5546875" style="55" bestFit="1" customWidth="1"/>
    <col min="7423" max="7423" width="11.88671875" style="55" bestFit="1" customWidth="1"/>
    <col min="7424" max="7425" width="11" style="55" bestFit="1" customWidth="1"/>
    <col min="7426" max="7426" width="10.88671875" style="55" bestFit="1" customWidth="1"/>
    <col min="7427" max="7427" width="9.109375" style="55" bestFit="1" customWidth="1"/>
    <col min="7428" max="7429" width="11.5546875" style="55" customWidth="1"/>
    <col min="7430" max="7430" width="14.44140625" style="55" customWidth="1"/>
    <col min="7431" max="7431" width="8.5546875" style="55" customWidth="1"/>
    <col min="7432" max="7433" width="11.44140625" style="55" customWidth="1"/>
    <col min="7434" max="7672" width="11.44140625" style="55"/>
    <col min="7673" max="7673" width="43.109375" style="55" customWidth="1"/>
    <col min="7674" max="7674" width="10.5546875" style="55" customWidth="1"/>
    <col min="7675" max="7675" width="10" style="55" bestFit="1" customWidth="1"/>
    <col min="7676" max="7676" width="9.109375" style="55" customWidth="1"/>
    <col min="7677" max="7677" width="7" style="55" customWidth="1"/>
    <col min="7678" max="7678" width="10.5546875" style="55" bestFit="1" customWidth="1"/>
    <col min="7679" max="7679" width="11.88671875" style="55" bestFit="1" customWidth="1"/>
    <col min="7680" max="7681" width="11" style="55" bestFit="1" customWidth="1"/>
    <col min="7682" max="7682" width="10.88671875" style="55" bestFit="1" customWidth="1"/>
    <col min="7683" max="7683" width="9.109375" style="55" bestFit="1" customWidth="1"/>
    <col min="7684" max="7685" width="11.5546875" style="55" customWidth="1"/>
    <col min="7686" max="7686" width="14.44140625" style="55" customWidth="1"/>
    <col min="7687" max="7687" width="8.5546875" style="55" customWidth="1"/>
    <col min="7688" max="7689" width="11.44140625" style="55" customWidth="1"/>
    <col min="7690" max="7928" width="11.44140625" style="55"/>
    <col min="7929" max="7929" width="43.109375" style="55" customWidth="1"/>
    <col min="7930" max="7930" width="10.5546875" style="55" customWidth="1"/>
    <col min="7931" max="7931" width="10" style="55" bestFit="1" customWidth="1"/>
    <col min="7932" max="7932" width="9.109375" style="55" customWidth="1"/>
    <col min="7933" max="7933" width="7" style="55" customWidth="1"/>
    <col min="7934" max="7934" width="10.5546875" style="55" bestFit="1" customWidth="1"/>
    <col min="7935" max="7935" width="11.88671875" style="55" bestFit="1" customWidth="1"/>
    <col min="7936" max="7937" width="11" style="55" bestFit="1" customWidth="1"/>
    <col min="7938" max="7938" width="10.88671875" style="55" bestFit="1" customWidth="1"/>
    <col min="7939" max="7939" width="9.109375" style="55" bestFit="1" customWidth="1"/>
    <col min="7940" max="7941" width="11.5546875" style="55" customWidth="1"/>
    <col min="7942" max="7942" width="14.44140625" style="55" customWidth="1"/>
    <col min="7943" max="7943" width="8.5546875" style="55" customWidth="1"/>
    <col min="7944" max="7945" width="11.44140625" style="55" customWidth="1"/>
    <col min="7946" max="8184" width="11.44140625" style="55"/>
    <col min="8185" max="8185" width="43.109375" style="55" customWidth="1"/>
    <col min="8186" max="8186" width="10.5546875" style="55" customWidth="1"/>
    <col min="8187" max="8187" width="10" style="55" bestFit="1" customWidth="1"/>
    <col min="8188" max="8188" width="9.109375" style="55" customWidth="1"/>
    <col min="8189" max="8189" width="7" style="55" customWidth="1"/>
    <col min="8190" max="8190" width="10.5546875" style="55" bestFit="1" customWidth="1"/>
    <col min="8191" max="8191" width="11.88671875" style="55" bestFit="1" customWidth="1"/>
    <col min="8192" max="8193" width="11" style="55" bestFit="1" customWidth="1"/>
    <col min="8194" max="8194" width="10.88671875" style="55" bestFit="1" customWidth="1"/>
    <col min="8195" max="8195" width="9.109375" style="55" bestFit="1" customWidth="1"/>
    <col min="8196" max="8197" width="11.5546875" style="55" customWidth="1"/>
    <col min="8198" max="8198" width="14.44140625" style="55" customWidth="1"/>
    <col min="8199" max="8199" width="8.5546875" style="55" customWidth="1"/>
    <col min="8200" max="8201" width="11.44140625" style="55" customWidth="1"/>
    <col min="8202" max="8440" width="11.44140625" style="55"/>
    <col min="8441" max="8441" width="43.109375" style="55" customWidth="1"/>
    <col min="8442" max="8442" width="10.5546875" style="55" customWidth="1"/>
    <col min="8443" max="8443" width="10" style="55" bestFit="1" customWidth="1"/>
    <col min="8444" max="8444" width="9.109375" style="55" customWidth="1"/>
    <col min="8445" max="8445" width="7" style="55" customWidth="1"/>
    <col min="8446" max="8446" width="10.5546875" style="55" bestFit="1" customWidth="1"/>
    <col min="8447" max="8447" width="11.88671875" style="55" bestFit="1" customWidth="1"/>
    <col min="8448" max="8449" width="11" style="55" bestFit="1" customWidth="1"/>
    <col min="8450" max="8450" width="10.88671875" style="55" bestFit="1" customWidth="1"/>
    <col min="8451" max="8451" width="9.109375" style="55" bestFit="1" customWidth="1"/>
    <col min="8452" max="8453" width="11.5546875" style="55" customWidth="1"/>
    <col min="8454" max="8454" width="14.44140625" style="55" customWidth="1"/>
    <col min="8455" max="8455" width="8.5546875" style="55" customWidth="1"/>
    <col min="8456" max="8457" width="11.44140625" style="55" customWidth="1"/>
    <col min="8458" max="8696" width="11.44140625" style="55"/>
    <col min="8697" max="8697" width="43.109375" style="55" customWidth="1"/>
    <col min="8698" max="8698" width="10.5546875" style="55" customWidth="1"/>
    <col min="8699" max="8699" width="10" style="55" bestFit="1" customWidth="1"/>
    <col min="8700" max="8700" width="9.109375" style="55" customWidth="1"/>
    <col min="8701" max="8701" width="7" style="55" customWidth="1"/>
    <col min="8702" max="8702" width="10.5546875" style="55" bestFit="1" customWidth="1"/>
    <col min="8703" max="8703" width="11.88671875" style="55" bestFit="1" customWidth="1"/>
    <col min="8704" max="8705" width="11" style="55" bestFit="1" customWidth="1"/>
    <col min="8706" max="8706" width="10.88671875" style="55" bestFit="1" customWidth="1"/>
    <col min="8707" max="8707" width="9.109375" style="55" bestFit="1" customWidth="1"/>
    <col min="8708" max="8709" width="11.5546875" style="55" customWidth="1"/>
    <col min="8710" max="8710" width="14.44140625" style="55" customWidth="1"/>
    <col min="8711" max="8711" width="8.5546875" style="55" customWidth="1"/>
    <col min="8712" max="8713" width="11.44140625" style="55" customWidth="1"/>
    <col min="8714" max="8952" width="11.44140625" style="55"/>
    <col min="8953" max="8953" width="43.109375" style="55" customWidth="1"/>
    <col min="8954" max="8954" width="10.5546875" style="55" customWidth="1"/>
    <col min="8955" max="8955" width="10" style="55" bestFit="1" customWidth="1"/>
    <col min="8956" max="8956" width="9.109375" style="55" customWidth="1"/>
    <col min="8957" max="8957" width="7" style="55" customWidth="1"/>
    <col min="8958" max="8958" width="10.5546875" style="55" bestFit="1" customWidth="1"/>
    <col min="8959" max="8959" width="11.88671875" style="55" bestFit="1" customWidth="1"/>
    <col min="8960" max="8961" width="11" style="55" bestFit="1" customWidth="1"/>
    <col min="8962" max="8962" width="10.88671875" style="55" bestFit="1" customWidth="1"/>
    <col min="8963" max="8963" width="9.109375" style="55" bestFit="1" customWidth="1"/>
    <col min="8964" max="8965" width="11.5546875" style="55" customWidth="1"/>
    <col min="8966" max="8966" width="14.44140625" style="55" customWidth="1"/>
    <col min="8967" max="8967" width="8.5546875" style="55" customWidth="1"/>
    <col min="8968" max="8969" width="11.44140625" style="55" customWidth="1"/>
    <col min="8970" max="9208" width="11.44140625" style="55"/>
    <col min="9209" max="9209" width="43.109375" style="55" customWidth="1"/>
    <col min="9210" max="9210" width="10.5546875" style="55" customWidth="1"/>
    <col min="9211" max="9211" width="10" style="55" bestFit="1" customWidth="1"/>
    <col min="9212" max="9212" width="9.109375" style="55" customWidth="1"/>
    <col min="9213" max="9213" width="7" style="55" customWidth="1"/>
    <col min="9214" max="9214" width="10.5546875" style="55" bestFit="1" customWidth="1"/>
    <col min="9215" max="9215" width="11.88671875" style="55" bestFit="1" customWidth="1"/>
    <col min="9216" max="9217" width="11" style="55" bestFit="1" customWidth="1"/>
    <col min="9218" max="9218" width="10.88671875" style="55" bestFit="1" customWidth="1"/>
    <col min="9219" max="9219" width="9.109375" style="55" bestFit="1" customWidth="1"/>
    <col min="9220" max="9221" width="11.5546875" style="55" customWidth="1"/>
    <col min="9222" max="9222" width="14.44140625" style="55" customWidth="1"/>
    <col min="9223" max="9223" width="8.5546875" style="55" customWidth="1"/>
    <col min="9224" max="9225" width="11.44140625" style="55" customWidth="1"/>
    <col min="9226" max="9464" width="11.44140625" style="55"/>
    <col min="9465" max="9465" width="43.109375" style="55" customWidth="1"/>
    <col min="9466" max="9466" width="10.5546875" style="55" customWidth="1"/>
    <col min="9467" max="9467" width="10" style="55" bestFit="1" customWidth="1"/>
    <col min="9468" max="9468" width="9.109375" style="55" customWidth="1"/>
    <col min="9469" max="9469" width="7" style="55" customWidth="1"/>
    <col min="9470" max="9470" width="10.5546875" style="55" bestFit="1" customWidth="1"/>
    <col min="9471" max="9471" width="11.88671875" style="55" bestFit="1" customWidth="1"/>
    <col min="9472" max="9473" width="11" style="55" bestFit="1" customWidth="1"/>
    <col min="9474" max="9474" width="10.88671875" style="55" bestFit="1" customWidth="1"/>
    <col min="9475" max="9475" width="9.109375" style="55" bestFit="1" customWidth="1"/>
    <col min="9476" max="9477" width="11.5546875" style="55" customWidth="1"/>
    <col min="9478" max="9478" width="14.44140625" style="55" customWidth="1"/>
    <col min="9479" max="9479" width="8.5546875" style="55" customWidth="1"/>
    <col min="9480" max="9481" width="11.44140625" style="55" customWidth="1"/>
    <col min="9482" max="9720" width="11.44140625" style="55"/>
    <col min="9721" max="9721" width="43.109375" style="55" customWidth="1"/>
    <col min="9722" max="9722" width="10.5546875" style="55" customWidth="1"/>
    <col min="9723" max="9723" width="10" style="55" bestFit="1" customWidth="1"/>
    <col min="9724" max="9724" width="9.109375" style="55" customWidth="1"/>
    <col min="9725" max="9725" width="7" style="55" customWidth="1"/>
    <col min="9726" max="9726" width="10.5546875" style="55" bestFit="1" customWidth="1"/>
    <col min="9727" max="9727" width="11.88671875" style="55" bestFit="1" customWidth="1"/>
    <col min="9728" max="9729" width="11" style="55" bestFit="1" customWidth="1"/>
    <col min="9730" max="9730" width="10.88671875" style="55" bestFit="1" customWidth="1"/>
    <col min="9731" max="9731" width="9.109375" style="55" bestFit="1" customWidth="1"/>
    <col min="9732" max="9733" width="11.5546875" style="55" customWidth="1"/>
    <col min="9734" max="9734" width="14.44140625" style="55" customWidth="1"/>
    <col min="9735" max="9735" width="8.5546875" style="55" customWidth="1"/>
    <col min="9736" max="9737" width="11.44140625" style="55" customWidth="1"/>
    <col min="9738" max="9976" width="11.44140625" style="55"/>
    <col min="9977" max="9977" width="43.109375" style="55" customWidth="1"/>
    <col min="9978" max="9978" width="10.5546875" style="55" customWidth="1"/>
    <col min="9979" max="9979" width="10" style="55" bestFit="1" customWidth="1"/>
    <col min="9980" max="9980" width="9.109375" style="55" customWidth="1"/>
    <col min="9981" max="9981" width="7" style="55" customWidth="1"/>
    <col min="9982" max="9982" width="10.5546875" style="55" bestFit="1" customWidth="1"/>
    <col min="9983" max="9983" width="11.88671875" style="55" bestFit="1" customWidth="1"/>
    <col min="9984" max="9985" width="11" style="55" bestFit="1" customWidth="1"/>
    <col min="9986" max="9986" width="10.88671875" style="55" bestFit="1" customWidth="1"/>
    <col min="9987" max="9987" width="9.109375" style="55" bestFit="1" customWidth="1"/>
    <col min="9988" max="9989" width="11.5546875" style="55" customWidth="1"/>
    <col min="9990" max="9990" width="14.44140625" style="55" customWidth="1"/>
    <col min="9991" max="9991" width="8.5546875" style="55" customWidth="1"/>
    <col min="9992" max="9993" width="11.44140625" style="55" customWidth="1"/>
    <col min="9994" max="10232" width="11.44140625" style="55"/>
    <col min="10233" max="10233" width="43.109375" style="55" customWidth="1"/>
    <col min="10234" max="10234" width="10.5546875" style="55" customWidth="1"/>
    <col min="10235" max="10235" width="10" style="55" bestFit="1" customWidth="1"/>
    <col min="10236" max="10236" width="9.109375" style="55" customWidth="1"/>
    <col min="10237" max="10237" width="7" style="55" customWidth="1"/>
    <col min="10238" max="10238" width="10.5546875" style="55" bestFit="1" customWidth="1"/>
    <col min="10239" max="10239" width="11.88671875" style="55" bestFit="1" customWidth="1"/>
    <col min="10240" max="10241" width="11" style="55" bestFit="1" customWidth="1"/>
    <col min="10242" max="10242" width="10.88671875" style="55" bestFit="1" customWidth="1"/>
    <col min="10243" max="10243" width="9.109375" style="55" bestFit="1" customWidth="1"/>
    <col min="10244" max="10245" width="11.5546875" style="55" customWidth="1"/>
    <col min="10246" max="10246" width="14.44140625" style="55" customWidth="1"/>
    <col min="10247" max="10247" width="8.5546875" style="55" customWidth="1"/>
    <col min="10248" max="10249" width="11.44140625" style="55" customWidth="1"/>
    <col min="10250" max="10488" width="11.44140625" style="55"/>
    <col min="10489" max="10489" width="43.109375" style="55" customWidth="1"/>
    <col min="10490" max="10490" width="10.5546875" style="55" customWidth="1"/>
    <col min="10491" max="10491" width="10" style="55" bestFit="1" customWidth="1"/>
    <col min="10492" max="10492" width="9.109375" style="55" customWidth="1"/>
    <col min="10493" max="10493" width="7" style="55" customWidth="1"/>
    <col min="10494" max="10494" width="10.5546875" style="55" bestFit="1" customWidth="1"/>
    <col min="10495" max="10495" width="11.88671875" style="55" bestFit="1" customWidth="1"/>
    <col min="10496" max="10497" width="11" style="55" bestFit="1" customWidth="1"/>
    <col min="10498" max="10498" width="10.88671875" style="55" bestFit="1" customWidth="1"/>
    <col min="10499" max="10499" width="9.109375" style="55" bestFit="1" customWidth="1"/>
    <col min="10500" max="10501" width="11.5546875" style="55" customWidth="1"/>
    <col min="10502" max="10502" width="14.44140625" style="55" customWidth="1"/>
    <col min="10503" max="10503" width="8.5546875" style="55" customWidth="1"/>
    <col min="10504" max="10505" width="11.44140625" style="55" customWidth="1"/>
    <col min="10506" max="10744" width="11.44140625" style="55"/>
    <col min="10745" max="10745" width="43.109375" style="55" customWidth="1"/>
    <col min="10746" max="10746" width="10.5546875" style="55" customWidth="1"/>
    <col min="10747" max="10747" width="10" style="55" bestFit="1" customWidth="1"/>
    <col min="10748" max="10748" width="9.109375" style="55" customWidth="1"/>
    <col min="10749" max="10749" width="7" style="55" customWidth="1"/>
    <col min="10750" max="10750" width="10.5546875" style="55" bestFit="1" customWidth="1"/>
    <col min="10751" max="10751" width="11.88671875" style="55" bestFit="1" customWidth="1"/>
    <col min="10752" max="10753" width="11" style="55" bestFit="1" customWidth="1"/>
    <col min="10754" max="10754" width="10.88671875" style="55" bestFit="1" customWidth="1"/>
    <col min="10755" max="10755" width="9.109375" style="55" bestFit="1" customWidth="1"/>
    <col min="10756" max="10757" width="11.5546875" style="55" customWidth="1"/>
    <col min="10758" max="10758" width="14.44140625" style="55" customWidth="1"/>
    <col min="10759" max="10759" width="8.5546875" style="55" customWidth="1"/>
    <col min="10760" max="10761" width="11.44140625" style="55" customWidth="1"/>
    <col min="10762" max="11000" width="11.44140625" style="55"/>
    <col min="11001" max="11001" width="43.109375" style="55" customWidth="1"/>
    <col min="11002" max="11002" width="10.5546875" style="55" customWidth="1"/>
    <col min="11003" max="11003" width="10" style="55" bestFit="1" customWidth="1"/>
    <col min="11004" max="11004" width="9.109375" style="55" customWidth="1"/>
    <col min="11005" max="11005" width="7" style="55" customWidth="1"/>
    <col min="11006" max="11006" width="10.5546875" style="55" bestFit="1" customWidth="1"/>
    <col min="11007" max="11007" width="11.88671875" style="55" bestFit="1" customWidth="1"/>
    <col min="11008" max="11009" width="11" style="55" bestFit="1" customWidth="1"/>
    <col min="11010" max="11010" width="10.88671875" style="55" bestFit="1" customWidth="1"/>
    <col min="11011" max="11011" width="9.109375" style="55" bestFit="1" customWidth="1"/>
    <col min="11012" max="11013" width="11.5546875" style="55" customWidth="1"/>
    <col min="11014" max="11014" width="14.44140625" style="55" customWidth="1"/>
    <col min="11015" max="11015" width="8.5546875" style="55" customWidth="1"/>
    <col min="11016" max="11017" width="11.44140625" style="55" customWidth="1"/>
    <col min="11018" max="11256" width="11.44140625" style="55"/>
    <col min="11257" max="11257" width="43.109375" style="55" customWidth="1"/>
    <col min="11258" max="11258" width="10.5546875" style="55" customWidth="1"/>
    <col min="11259" max="11259" width="10" style="55" bestFit="1" customWidth="1"/>
    <col min="11260" max="11260" width="9.109375" style="55" customWidth="1"/>
    <col min="11261" max="11261" width="7" style="55" customWidth="1"/>
    <col min="11262" max="11262" width="10.5546875" style="55" bestFit="1" customWidth="1"/>
    <col min="11263" max="11263" width="11.88671875" style="55" bestFit="1" customWidth="1"/>
    <col min="11264" max="11265" width="11" style="55" bestFit="1" customWidth="1"/>
    <col min="11266" max="11266" width="10.88671875" style="55" bestFit="1" customWidth="1"/>
    <col min="11267" max="11267" width="9.109375" style="55" bestFit="1" customWidth="1"/>
    <col min="11268" max="11269" width="11.5546875" style="55" customWidth="1"/>
    <col min="11270" max="11270" width="14.44140625" style="55" customWidth="1"/>
    <col min="11271" max="11271" width="8.5546875" style="55" customWidth="1"/>
    <col min="11272" max="11273" width="11.44140625" style="55" customWidth="1"/>
    <col min="11274" max="11512" width="11.44140625" style="55"/>
    <col min="11513" max="11513" width="43.109375" style="55" customWidth="1"/>
    <col min="11514" max="11514" width="10.5546875" style="55" customWidth="1"/>
    <col min="11515" max="11515" width="10" style="55" bestFit="1" customWidth="1"/>
    <col min="11516" max="11516" width="9.109375" style="55" customWidth="1"/>
    <col min="11517" max="11517" width="7" style="55" customWidth="1"/>
    <col min="11518" max="11518" width="10.5546875" style="55" bestFit="1" customWidth="1"/>
    <col min="11519" max="11519" width="11.88671875" style="55" bestFit="1" customWidth="1"/>
    <col min="11520" max="11521" width="11" style="55" bestFit="1" customWidth="1"/>
    <col min="11522" max="11522" width="10.88671875" style="55" bestFit="1" customWidth="1"/>
    <col min="11523" max="11523" width="9.109375" style="55" bestFit="1" customWidth="1"/>
    <col min="11524" max="11525" width="11.5546875" style="55" customWidth="1"/>
    <col min="11526" max="11526" width="14.44140625" style="55" customWidth="1"/>
    <col min="11527" max="11527" width="8.5546875" style="55" customWidth="1"/>
    <col min="11528" max="11529" width="11.44140625" style="55" customWidth="1"/>
    <col min="11530" max="11768" width="11.44140625" style="55"/>
    <col min="11769" max="11769" width="43.109375" style="55" customWidth="1"/>
    <col min="11770" max="11770" width="10.5546875" style="55" customWidth="1"/>
    <col min="11771" max="11771" width="10" style="55" bestFit="1" customWidth="1"/>
    <col min="11772" max="11772" width="9.109375" style="55" customWidth="1"/>
    <col min="11773" max="11773" width="7" style="55" customWidth="1"/>
    <col min="11774" max="11774" width="10.5546875" style="55" bestFit="1" customWidth="1"/>
    <col min="11775" max="11775" width="11.88671875" style="55" bestFit="1" customWidth="1"/>
    <col min="11776" max="11777" width="11" style="55" bestFit="1" customWidth="1"/>
    <col min="11778" max="11778" width="10.88671875" style="55" bestFit="1" customWidth="1"/>
    <col min="11779" max="11779" width="9.109375" style="55" bestFit="1" customWidth="1"/>
    <col min="11780" max="11781" width="11.5546875" style="55" customWidth="1"/>
    <col min="11782" max="11782" width="14.44140625" style="55" customWidth="1"/>
    <col min="11783" max="11783" width="8.5546875" style="55" customWidth="1"/>
    <col min="11784" max="11785" width="11.44140625" style="55" customWidth="1"/>
    <col min="11786" max="12024" width="11.44140625" style="55"/>
    <col min="12025" max="12025" width="43.109375" style="55" customWidth="1"/>
    <col min="12026" max="12026" width="10.5546875" style="55" customWidth="1"/>
    <col min="12027" max="12027" width="10" style="55" bestFit="1" customWidth="1"/>
    <col min="12028" max="12028" width="9.109375" style="55" customWidth="1"/>
    <col min="12029" max="12029" width="7" style="55" customWidth="1"/>
    <col min="12030" max="12030" width="10.5546875" style="55" bestFit="1" customWidth="1"/>
    <col min="12031" max="12031" width="11.88671875" style="55" bestFit="1" customWidth="1"/>
    <col min="12032" max="12033" width="11" style="55" bestFit="1" customWidth="1"/>
    <col min="12034" max="12034" width="10.88671875" style="55" bestFit="1" customWidth="1"/>
    <col min="12035" max="12035" width="9.109375" style="55" bestFit="1" customWidth="1"/>
    <col min="12036" max="12037" width="11.5546875" style="55" customWidth="1"/>
    <col min="12038" max="12038" width="14.44140625" style="55" customWidth="1"/>
    <col min="12039" max="12039" width="8.5546875" style="55" customWidth="1"/>
    <col min="12040" max="12041" width="11.44140625" style="55" customWidth="1"/>
    <col min="12042" max="12280" width="11.44140625" style="55"/>
    <col min="12281" max="12281" width="43.109375" style="55" customWidth="1"/>
    <col min="12282" max="12282" width="10.5546875" style="55" customWidth="1"/>
    <col min="12283" max="12283" width="10" style="55" bestFit="1" customWidth="1"/>
    <col min="12284" max="12284" width="9.109375" style="55" customWidth="1"/>
    <col min="12285" max="12285" width="7" style="55" customWidth="1"/>
    <col min="12286" max="12286" width="10.5546875" style="55" bestFit="1" customWidth="1"/>
    <col min="12287" max="12287" width="11.88671875" style="55" bestFit="1" customWidth="1"/>
    <col min="12288" max="12289" width="11" style="55" bestFit="1" customWidth="1"/>
    <col min="12290" max="12290" width="10.88671875" style="55" bestFit="1" customWidth="1"/>
    <col min="12291" max="12291" width="9.109375" style="55" bestFit="1" customWidth="1"/>
    <col min="12292" max="12293" width="11.5546875" style="55" customWidth="1"/>
    <col min="12294" max="12294" width="14.44140625" style="55" customWidth="1"/>
    <col min="12295" max="12295" width="8.5546875" style="55" customWidth="1"/>
    <col min="12296" max="12297" width="11.44140625" style="55" customWidth="1"/>
    <col min="12298" max="12536" width="11.44140625" style="55"/>
    <col min="12537" max="12537" width="43.109375" style="55" customWidth="1"/>
    <col min="12538" max="12538" width="10.5546875" style="55" customWidth="1"/>
    <col min="12539" max="12539" width="10" style="55" bestFit="1" customWidth="1"/>
    <col min="12540" max="12540" width="9.109375" style="55" customWidth="1"/>
    <col min="12541" max="12541" width="7" style="55" customWidth="1"/>
    <col min="12542" max="12542" width="10.5546875" style="55" bestFit="1" customWidth="1"/>
    <col min="12543" max="12543" width="11.88671875" style="55" bestFit="1" customWidth="1"/>
    <col min="12544" max="12545" width="11" style="55" bestFit="1" customWidth="1"/>
    <col min="12546" max="12546" width="10.88671875" style="55" bestFit="1" customWidth="1"/>
    <col min="12547" max="12547" width="9.109375" style="55" bestFit="1" customWidth="1"/>
    <col min="12548" max="12549" width="11.5546875" style="55" customWidth="1"/>
    <col min="12550" max="12550" width="14.44140625" style="55" customWidth="1"/>
    <col min="12551" max="12551" width="8.5546875" style="55" customWidth="1"/>
    <col min="12552" max="12553" width="11.44140625" style="55" customWidth="1"/>
    <col min="12554" max="12792" width="11.44140625" style="55"/>
    <col min="12793" max="12793" width="43.109375" style="55" customWidth="1"/>
    <col min="12794" max="12794" width="10.5546875" style="55" customWidth="1"/>
    <col min="12795" max="12795" width="10" style="55" bestFit="1" customWidth="1"/>
    <col min="12796" max="12796" width="9.109375" style="55" customWidth="1"/>
    <col min="12797" max="12797" width="7" style="55" customWidth="1"/>
    <col min="12798" max="12798" width="10.5546875" style="55" bestFit="1" customWidth="1"/>
    <col min="12799" max="12799" width="11.88671875" style="55" bestFit="1" customWidth="1"/>
    <col min="12800" max="12801" width="11" style="55" bestFit="1" customWidth="1"/>
    <col min="12802" max="12802" width="10.88671875" style="55" bestFit="1" customWidth="1"/>
    <col min="12803" max="12803" width="9.109375" style="55" bestFit="1" customWidth="1"/>
    <col min="12804" max="12805" width="11.5546875" style="55" customWidth="1"/>
    <col min="12806" max="12806" width="14.44140625" style="55" customWidth="1"/>
    <col min="12807" max="12807" width="8.5546875" style="55" customWidth="1"/>
    <col min="12808" max="12809" width="11.44140625" style="55" customWidth="1"/>
    <col min="12810" max="13048" width="11.44140625" style="55"/>
    <col min="13049" max="13049" width="43.109375" style="55" customWidth="1"/>
    <col min="13050" max="13050" width="10.5546875" style="55" customWidth="1"/>
    <col min="13051" max="13051" width="10" style="55" bestFit="1" customWidth="1"/>
    <col min="13052" max="13052" width="9.109375" style="55" customWidth="1"/>
    <col min="13053" max="13053" width="7" style="55" customWidth="1"/>
    <col min="13054" max="13054" width="10.5546875" style="55" bestFit="1" customWidth="1"/>
    <col min="13055" max="13055" width="11.88671875" style="55" bestFit="1" customWidth="1"/>
    <col min="13056" max="13057" width="11" style="55" bestFit="1" customWidth="1"/>
    <col min="13058" max="13058" width="10.88671875" style="55" bestFit="1" customWidth="1"/>
    <col min="13059" max="13059" width="9.109375" style="55" bestFit="1" customWidth="1"/>
    <col min="13060" max="13061" width="11.5546875" style="55" customWidth="1"/>
    <col min="13062" max="13062" width="14.44140625" style="55" customWidth="1"/>
    <col min="13063" max="13063" width="8.5546875" style="55" customWidth="1"/>
    <col min="13064" max="13065" width="11.44140625" style="55" customWidth="1"/>
    <col min="13066" max="13304" width="11.44140625" style="55"/>
    <col min="13305" max="13305" width="43.109375" style="55" customWidth="1"/>
    <col min="13306" max="13306" width="10.5546875" style="55" customWidth="1"/>
    <col min="13307" max="13307" width="10" style="55" bestFit="1" customWidth="1"/>
    <col min="13308" max="13308" width="9.109375" style="55" customWidth="1"/>
    <col min="13309" max="13309" width="7" style="55" customWidth="1"/>
    <col min="13310" max="13310" width="10.5546875" style="55" bestFit="1" customWidth="1"/>
    <col min="13311" max="13311" width="11.88671875" style="55" bestFit="1" customWidth="1"/>
    <col min="13312" max="13313" width="11" style="55" bestFit="1" customWidth="1"/>
    <col min="13314" max="13314" width="10.88671875" style="55" bestFit="1" customWidth="1"/>
    <col min="13315" max="13315" width="9.109375" style="55" bestFit="1" customWidth="1"/>
    <col min="13316" max="13317" width="11.5546875" style="55" customWidth="1"/>
    <col min="13318" max="13318" width="14.44140625" style="55" customWidth="1"/>
    <col min="13319" max="13319" width="8.5546875" style="55" customWidth="1"/>
    <col min="13320" max="13321" width="11.44140625" style="55" customWidth="1"/>
    <col min="13322" max="13560" width="11.44140625" style="55"/>
    <col min="13561" max="13561" width="43.109375" style="55" customWidth="1"/>
    <col min="13562" max="13562" width="10.5546875" style="55" customWidth="1"/>
    <col min="13563" max="13563" width="10" style="55" bestFit="1" customWidth="1"/>
    <col min="13564" max="13564" width="9.109375" style="55" customWidth="1"/>
    <col min="13565" max="13565" width="7" style="55" customWidth="1"/>
    <col min="13566" max="13566" width="10.5546875" style="55" bestFit="1" customWidth="1"/>
    <col min="13567" max="13567" width="11.88671875" style="55" bestFit="1" customWidth="1"/>
    <col min="13568" max="13569" width="11" style="55" bestFit="1" customWidth="1"/>
    <col min="13570" max="13570" width="10.88671875" style="55" bestFit="1" customWidth="1"/>
    <col min="13571" max="13571" width="9.109375" style="55" bestFit="1" customWidth="1"/>
    <col min="13572" max="13573" width="11.5546875" style="55" customWidth="1"/>
    <col min="13574" max="13574" width="14.44140625" style="55" customWidth="1"/>
    <col min="13575" max="13575" width="8.5546875" style="55" customWidth="1"/>
    <col min="13576" max="13577" width="11.44140625" style="55" customWidth="1"/>
    <col min="13578" max="13816" width="11.44140625" style="55"/>
    <col min="13817" max="13817" width="43.109375" style="55" customWidth="1"/>
    <col min="13818" max="13818" width="10.5546875" style="55" customWidth="1"/>
    <col min="13819" max="13819" width="10" style="55" bestFit="1" customWidth="1"/>
    <col min="13820" max="13820" width="9.109375" style="55" customWidth="1"/>
    <col min="13821" max="13821" width="7" style="55" customWidth="1"/>
    <col min="13822" max="13822" width="10.5546875" style="55" bestFit="1" customWidth="1"/>
    <col min="13823" max="13823" width="11.88671875" style="55" bestFit="1" customWidth="1"/>
    <col min="13824" max="13825" width="11" style="55" bestFit="1" customWidth="1"/>
    <col min="13826" max="13826" width="10.88671875" style="55" bestFit="1" customWidth="1"/>
    <col min="13827" max="13827" width="9.109375" style="55" bestFit="1" customWidth="1"/>
    <col min="13828" max="13829" width="11.5546875" style="55" customWidth="1"/>
    <col min="13830" max="13830" width="14.44140625" style="55" customWidth="1"/>
    <col min="13831" max="13831" width="8.5546875" style="55" customWidth="1"/>
    <col min="13832" max="13833" width="11.44140625" style="55" customWidth="1"/>
    <col min="13834" max="14072" width="11.44140625" style="55"/>
    <col min="14073" max="14073" width="43.109375" style="55" customWidth="1"/>
    <col min="14074" max="14074" width="10.5546875" style="55" customWidth="1"/>
    <col min="14075" max="14075" width="10" style="55" bestFit="1" customWidth="1"/>
    <col min="14076" max="14076" width="9.109375" style="55" customWidth="1"/>
    <col min="14077" max="14077" width="7" style="55" customWidth="1"/>
    <col min="14078" max="14078" width="10.5546875" style="55" bestFit="1" customWidth="1"/>
    <col min="14079" max="14079" width="11.88671875" style="55" bestFit="1" customWidth="1"/>
    <col min="14080" max="14081" width="11" style="55" bestFit="1" customWidth="1"/>
    <col min="14082" max="14082" width="10.88671875" style="55" bestFit="1" customWidth="1"/>
    <col min="14083" max="14083" width="9.109375" style="55" bestFit="1" customWidth="1"/>
    <col min="14084" max="14085" width="11.5546875" style="55" customWidth="1"/>
    <col min="14086" max="14086" width="14.44140625" style="55" customWidth="1"/>
    <col min="14087" max="14087" width="8.5546875" style="55" customWidth="1"/>
    <col min="14088" max="14089" width="11.44140625" style="55" customWidth="1"/>
    <col min="14090" max="14328" width="11.44140625" style="55"/>
    <col min="14329" max="14329" width="43.109375" style="55" customWidth="1"/>
    <col min="14330" max="14330" width="10.5546875" style="55" customWidth="1"/>
    <col min="14331" max="14331" width="10" style="55" bestFit="1" customWidth="1"/>
    <col min="14332" max="14332" width="9.109375" style="55" customWidth="1"/>
    <col min="14333" max="14333" width="7" style="55" customWidth="1"/>
    <col min="14334" max="14334" width="10.5546875" style="55" bestFit="1" customWidth="1"/>
    <col min="14335" max="14335" width="11.88671875" style="55" bestFit="1" customWidth="1"/>
    <col min="14336" max="14337" width="11" style="55" bestFit="1" customWidth="1"/>
    <col min="14338" max="14338" width="10.88671875" style="55" bestFit="1" customWidth="1"/>
    <col min="14339" max="14339" width="9.109375" style="55" bestFit="1" customWidth="1"/>
    <col min="14340" max="14341" width="11.5546875" style="55" customWidth="1"/>
    <col min="14342" max="14342" width="14.44140625" style="55" customWidth="1"/>
    <col min="14343" max="14343" width="8.5546875" style="55" customWidth="1"/>
    <col min="14344" max="14345" width="11.44140625" style="55" customWidth="1"/>
    <col min="14346" max="14584" width="11.44140625" style="55"/>
    <col min="14585" max="14585" width="43.109375" style="55" customWidth="1"/>
    <col min="14586" max="14586" width="10.5546875" style="55" customWidth="1"/>
    <col min="14587" max="14587" width="10" style="55" bestFit="1" customWidth="1"/>
    <col min="14588" max="14588" width="9.109375" style="55" customWidth="1"/>
    <col min="14589" max="14589" width="7" style="55" customWidth="1"/>
    <col min="14590" max="14590" width="10.5546875" style="55" bestFit="1" customWidth="1"/>
    <col min="14591" max="14591" width="11.88671875" style="55" bestFit="1" customWidth="1"/>
    <col min="14592" max="14593" width="11" style="55" bestFit="1" customWidth="1"/>
    <col min="14594" max="14594" width="10.88671875" style="55" bestFit="1" customWidth="1"/>
    <col min="14595" max="14595" width="9.109375" style="55" bestFit="1" customWidth="1"/>
    <col min="14596" max="14597" width="11.5546875" style="55" customWidth="1"/>
    <col min="14598" max="14598" width="14.44140625" style="55" customWidth="1"/>
    <col min="14599" max="14599" width="8.5546875" style="55" customWidth="1"/>
    <col min="14600" max="14601" width="11.44140625" style="55" customWidth="1"/>
    <col min="14602" max="14840" width="11.44140625" style="55"/>
    <col min="14841" max="14841" width="43.109375" style="55" customWidth="1"/>
    <col min="14842" max="14842" width="10.5546875" style="55" customWidth="1"/>
    <col min="14843" max="14843" width="10" style="55" bestFit="1" customWidth="1"/>
    <col min="14844" max="14844" width="9.109375" style="55" customWidth="1"/>
    <col min="14845" max="14845" width="7" style="55" customWidth="1"/>
    <col min="14846" max="14846" width="10.5546875" style="55" bestFit="1" customWidth="1"/>
    <col min="14847" max="14847" width="11.88671875" style="55" bestFit="1" customWidth="1"/>
    <col min="14848" max="14849" width="11" style="55" bestFit="1" customWidth="1"/>
    <col min="14850" max="14850" width="10.88671875" style="55" bestFit="1" customWidth="1"/>
    <col min="14851" max="14851" width="9.109375" style="55" bestFit="1" customWidth="1"/>
    <col min="14852" max="14853" width="11.5546875" style="55" customWidth="1"/>
    <col min="14854" max="14854" width="14.44140625" style="55" customWidth="1"/>
    <col min="14855" max="14855" width="8.5546875" style="55" customWidth="1"/>
    <col min="14856" max="14857" width="11.44140625" style="55" customWidth="1"/>
    <col min="14858" max="15096" width="11.44140625" style="55"/>
    <col min="15097" max="15097" width="43.109375" style="55" customWidth="1"/>
    <col min="15098" max="15098" width="10.5546875" style="55" customWidth="1"/>
    <col min="15099" max="15099" width="10" style="55" bestFit="1" customWidth="1"/>
    <col min="15100" max="15100" width="9.109375" style="55" customWidth="1"/>
    <col min="15101" max="15101" width="7" style="55" customWidth="1"/>
    <col min="15102" max="15102" width="10.5546875" style="55" bestFit="1" customWidth="1"/>
    <col min="15103" max="15103" width="11.88671875" style="55" bestFit="1" customWidth="1"/>
    <col min="15104" max="15105" width="11" style="55" bestFit="1" customWidth="1"/>
    <col min="15106" max="15106" width="10.88671875" style="55" bestFit="1" customWidth="1"/>
    <col min="15107" max="15107" width="9.109375" style="55" bestFit="1" customWidth="1"/>
    <col min="15108" max="15109" width="11.5546875" style="55" customWidth="1"/>
    <col min="15110" max="15110" width="14.44140625" style="55" customWidth="1"/>
    <col min="15111" max="15111" width="8.5546875" style="55" customWidth="1"/>
    <col min="15112" max="15113" width="11.44140625" style="55" customWidth="1"/>
    <col min="15114" max="15352" width="11.44140625" style="55"/>
    <col min="15353" max="15353" width="43.109375" style="55" customWidth="1"/>
    <col min="15354" max="15354" width="10.5546875" style="55" customWidth="1"/>
    <col min="15355" max="15355" width="10" style="55" bestFit="1" customWidth="1"/>
    <col min="15356" max="15356" width="9.109375" style="55" customWidth="1"/>
    <col min="15357" max="15357" width="7" style="55" customWidth="1"/>
    <col min="15358" max="15358" width="10.5546875" style="55" bestFit="1" customWidth="1"/>
    <col min="15359" max="15359" width="11.88671875" style="55" bestFit="1" customWidth="1"/>
    <col min="15360" max="15361" width="11" style="55" bestFit="1" customWidth="1"/>
    <col min="15362" max="15362" width="10.88671875" style="55" bestFit="1" customWidth="1"/>
    <col min="15363" max="15363" width="9.109375" style="55" bestFit="1" customWidth="1"/>
    <col min="15364" max="15365" width="11.5546875" style="55" customWidth="1"/>
    <col min="15366" max="15366" width="14.44140625" style="55" customWidth="1"/>
    <col min="15367" max="15367" width="8.5546875" style="55" customWidth="1"/>
    <col min="15368" max="15369" width="11.44140625" style="55" customWidth="1"/>
    <col min="15370" max="15608" width="11.44140625" style="55"/>
    <col min="15609" max="15609" width="43.109375" style="55" customWidth="1"/>
    <col min="15610" max="15610" width="10.5546875" style="55" customWidth="1"/>
    <col min="15611" max="15611" width="10" style="55" bestFit="1" customWidth="1"/>
    <col min="15612" max="15612" width="9.109375" style="55" customWidth="1"/>
    <col min="15613" max="15613" width="7" style="55" customWidth="1"/>
    <col min="15614" max="15614" width="10.5546875" style="55" bestFit="1" customWidth="1"/>
    <col min="15615" max="15615" width="11.88671875" style="55" bestFit="1" customWidth="1"/>
    <col min="15616" max="15617" width="11" style="55" bestFit="1" customWidth="1"/>
    <col min="15618" max="15618" width="10.88671875" style="55" bestFit="1" customWidth="1"/>
    <col min="15619" max="15619" width="9.109375" style="55" bestFit="1" customWidth="1"/>
    <col min="15620" max="15621" width="11.5546875" style="55" customWidth="1"/>
    <col min="15622" max="15622" width="14.44140625" style="55" customWidth="1"/>
    <col min="15623" max="15623" width="8.5546875" style="55" customWidth="1"/>
    <col min="15624" max="15625" width="11.44140625" style="55" customWidth="1"/>
    <col min="15626" max="15864" width="11.44140625" style="55"/>
    <col min="15865" max="15865" width="43.109375" style="55" customWidth="1"/>
    <col min="15866" max="15866" width="10.5546875" style="55" customWidth="1"/>
    <col min="15867" max="15867" width="10" style="55" bestFit="1" customWidth="1"/>
    <col min="15868" max="15868" width="9.109375" style="55" customWidth="1"/>
    <col min="15869" max="15869" width="7" style="55" customWidth="1"/>
    <col min="15870" max="15870" width="10.5546875" style="55" bestFit="1" customWidth="1"/>
    <col min="15871" max="15871" width="11.88671875" style="55" bestFit="1" customWidth="1"/>
    <col min="15872" max="15873" width="11" style="55" bestFit="1" customWidth="1"/>
    <col min="15874" max="15874" width="10.88671875" style="55" bestFit="1" customWidth="1"/>
    <col min="15875" max="15875" width="9.109375" style="55" bestFit="1" customWidth="1"/>
    <col min="15876" max="15877" width="11.5546875" style="55" customWidth="1"/>
    <col min="15878" max="15878" width="14.44140625" style="55" customWidth="1"/>
    <col min="15879" max="15879" width="8.5546875" style="55" customWidth="1"/>
    <col min="15880" max="15881" width="11.44140625" style="55" customWidth="1"/>
    <col min="15882" max="16120" width="11.44140625" style="55"/>
    <col min="16121" max="16121" width="43.109375" style="55" customWidth="1"/>
    <col min="16122" max="16122" width="10.5546875" style="55" customWidth="1"/>
    <col min="16123" max="16123" width="10" style="55" bestFit="1" customWidth="1"/>
    <col min="16124" max="16124" width="9.109375" style="55" customWidth="1"/>
    <col min="16125" max="16125" width="7" style="55" customWidth="1"/>
    <col min="16126" max="16126" width="10.5546875" style="55" bestFit="1" customWidth="1"/>
    <col min="16127" max="16127" width="11.88671875" style="55" bestFit="1" customWidth="1"/>
    <col min="16128" max="16129" width="11" style="55" bestFit="1" customWidth="1"/>
    <col min="16130" max="16130" width="10.88671875" style="55" bestFit="1" customWidth="1"/>
    <col min="16131" max="16131" width="9.109375" style="55" bestFit="1" customWidth="1"/>
    <col min="16132" max="16133" width="11.5546875" style="55" customWidth="1"/>
    <col min="16134" max="16134" width="14.44140625" style="55" customWidth="1"/>
    <col min="16135" max="16135" width="8.5546875" style="55" customWidth="1"/>
    <col min="16136" max="16137" width="11.44140625" style="55" customWidth="1"/>
    <col min="16138" max="16384" width="11.44140625" style="55"/>
  </cols>
  <sheetData>
    <row r="1" spans="1:17" s="52" customFormat="1" ht="13.8" x14ac:dyDescent="0.25">
      <c r="A1" s="50" t="str">
        <f>Tabelloversikt!A5</f>
        <v>Tabell 1 Hovedtall for forskningsinstitutter 2023</v>
      </c>
      <c r="B1" s="51"/>
      <c r="C1" s="51"/>
      <c r="D1" s="17"/>
      <c r="E1" s="17"/>
      <c r="H1" s="53"/>
      <c r="I1" s="53"/>
      <c r="J1" s="12"/>
      <c r="K1" s="12"/>
      <c r="L1" s="12"/>
      <c r="P1" s="54"/>
    </row>
    <row r="2" spans="1:17" ht="13.2" x14ac:dyDescent="0.25">
      <c r="B2" s="56"/>
      <c r="C2" s="56"/>
      <c r="D2" s="57"/>
      <c r="E2" s="57"/>
    </row>
    <row r="3" spans="1:17" ht="11.25" customHeight="1" x14ac:dyDescent="0.25">
      <c r="A3" s="59"/>
      <c r="B3" s="466" t="s">
        <v>106</v>
      </c>
      <c r="C3" s="466"/>
      <c r="D3" s="466"/>
      <c r="E3" s="466"/>
      <c r="F3" s="466"/>
      <c r="G3" s="466"/>
      <c r="H3" s="466"/>
      <c r="I3" s="60"/>
      <c r="J3" s="61"/>
      <c r="K3" s="466" t="s">
        <v>165</v>
      </c>
      <c r="L3" s="466"/>
      <c r="M3" s="466"/>
      <c r="N3" s="466"/>
      <c r="O3" s="62" t="s">
        <v>166</v>
      </c>
    </row>
    <row r="4" spans="1:17" ht="31.2" thickBot="1" x14ac:dyDescent="0.25">
      <c r="A4" s="63"/>
      <c r="B4" s="64" t="s">
        <v>120</v>
      </c>
      <c r="C4" s="64" t="s">
        <v>125</v>
      </c>
      <c r="D4" s="64" t="s">
        <v>216</v>
      </c>
      <c r="E4" s="64" t="s">
        <v>181</v>
      </c>
      <c r="F4" s="64" t="s">
        <v>179</v>
      </c>
      <c r="G4" s="64" t="s">
        <v>205</v>
      </c>
      <c r="H4" s="64" t="s">
        <v>138</v>
      </c>
      <c r="I4" s="64" t="s">
        <v>180</v>
      </c>
      <c r="J4" s="65"/>
      <c r="K4" s="66" t="s">
        <v>0</v>
      </c>
      <c r="L4" s="66" t="s">
        <v>142</v>
      </c>
      <c r="M4" s="66" t="s">
        <v>143</v>
      </c>
      <c r="N4" s="66" t="s">
        <v>204</v>
      </c>
      <c r="O4" s="64" t="s">
        <v>203</v>
      </c>
    </row>
    <row r="5" spans="1:17" ht="11.25" customHeight="1" x14ac:dyDescent="0.2">
      <c r="A5" s="67"/>
      <c r="B5" s="68" t="s">
        <v>2</v>
      </c>
      <c r="C5" s="68" t="s">
        <v>2</v>
      </c>
      <c r="D5" s="68" t="s">
        <v>2</v>
      </c>
      <c r="E5" s="68" t="s">
        <v>2</v>
      </c>
      <c r="F5" s="68" t="s">
        <v>2</v>
      </c>
      <c r="G5" s="68" t="s">
        <v>2</v>
      </c>
      <c r="H5" s="68" t="s">
        <v>2</v>
      </c>
      <c r="I5" s="68" t="s">
        <v>3</v>
      </c>
      <c r="J5" s="69"/>
      <c r="K5" s="70" t="s">
        <v>18</v>
      </c>
      <c r="L5" s="70" t="s">
        <v>18</v>
      </c>
      <c r="M5" s="70" t="s">
        <v>18</v>
      </c>
      <c r="N5" s="70" t="s">
        <v>18</v>
      </c>
      <c r="O5" s="68" t="s">
        <v>164</v>
      </c>
    </row>
    <row r="6" spans="1:17" ht="15" customHeight="1" x14ac:dyDescent="0.2">
      <c r="A6" s="71" t="s">
        <v>5</v>
      </c>
      <c r="B6" s="72">
        <v>1797626</v>
      </c>
      <c r="C6" s="72">
        <v>-14051</v>
      </c>
      <c r="D6" s="72">
        <v>298596</v>
      </c>
      <c r="E6" s="72">
        <v>842445</v>
      </c>
      <c r="F6" s="72">
        <v>358192</v>
      </c>
      <c r="G6" s="72">
        <v>168940</v>
      </c>
      <c r="H6" s="72">
        <v>76722</v>
      </c>
      <c r="I6" s="75">
        <v>0.50219567362732853</v>
      </c>
      <c r="J6" s="74"/>
      <c r="K6" s="76">
        <v>1072.55</v>
      </c>
      <c r="L6" s="76">
        <v>815.6099999999999</v>
      </c>
      <c r="M6" s="76">
        <v>435.98</v>
      </c>
      <c r="N6" s="392">
        <v>24</v>
      </c>
      <c r="O6" s="77">
        <v>1.2713070109979712</v>
      </c>
    </row>
    <row r="7" spans="1:17" ht="15" customHeight="1" x14ac:dyDescent="0.2">
      <c r="A7" s="71" t="s">
        <v>108</v>
      </c>
      <c r="B7" s="72">
        <v>2536883</v>
      </c>
      <c r="C7" s="72">
        <v>-28200</v>
      </c>
      <c r="D7" s="72">
        <v>305326</v>
      </c>
      <c r="E7" s="72">
        <v>919479</v>
      </c>
      <c r="F7" s="72">
        <v>911920</v>
      </c>
      <c r="G7" s="72">
        <v>330297</v>
      </c>
      <c r="H7" s="72">
        <v>174015</v>
      </c>
      <c r="I7" s="75">
        <v>0.35295281650750154</v>
      </c>
      <c r="J7" s="74"/>
      <c r="K7" s="76">
        <v>1487.23</v>
      </c>
      <c r="L7" s="76">
        <v>1010.68</v>
      </c>
      <c r="M7" s="76">
        <v>466.25</v>
      </c>
      <c r="N7" s="392">
        <v>16</v>
      </c>
      <c r="O7" s="77">
        <v>1.0785971851572207</v>
      </c>
    </row>
    <row r="8" spans="1:17" ht="15" customHeight="1" x14ac:dyDescent="0.2">
      <c r="A8" s="71" t="s">
        <v>4</v>
      </c>
      <c r="B8" s="72">
        <v>2593951</v>
      </c>
      <c r="C8" s="72">
        <v>-7736</v>
      </c>
      <c r="D8" s="72">
        <v>340138</v>
      </c>
      <c r="E8" s="72">
        <v>1016097</v>
      </c>
      <c r="F8" s="72">
        <v>470948</v>
      </c>
      <c r="G8" s="72">
        <v>144927</v>
      </c>
      <c r="H8" s="72">
        <v>53078</v>
      </c>
      <c r="I8" s="75">
        <v>0.285130675174666</v>
      </c>
      <c r="J8" s="74"/>
      <c r="K8" s="76">
        <v>1515.94</v>
      </c>
      <c r="L8" s="76">
        <v>827.88</v>
      </c>
      <c r="M8" s="76">
        <v>423.40000000000003</v>
      </c>
      <c r="N8" s="392">
        <v>13</v>
      </c>
      <c r="O8" s="77">
        <v>0.79375613675291157</v>
      </c>
    </row>
    <row r="9" spans="1:17" ht="15" customHeight="1" x14ac:dyDescent="0.2">
      <c r="A9" s="71" t="s">
        <v>6</v>
      </c>
      <c r="B9" s="72">
        <v>6476070</v>
      </c>
      <c r="C9" s="72">
        <v>85972</v>
      </c>
      <c r="D9" s="72">
        <v>744261</v>
      </c>
      <c r="E9" s="72">
        <v>1813791</v>
      </c>
      <c r="F9" s="72">
        <v>1898766</v>
      </c>
      <c r="G9" s="72">
        <v>1295276</v>
      </c>
      <c r="H9" s="72">
        <v>542622</v>
      </c>
      <c r="I9" s="75">
        <v>0.30322618501653009</v>
      </c>
      <c r="J9" s="74"/>
      <c r="K9" s="76">
        <v>3196.7400000000002</v>
      </c>
      <c r="L9" s="76">
        <v>2190.2400000000002</v>
      </c>
      <c r="M9" s="76">
        <v>673.5100000000001</v>
      </c>
      <c r="N9" s="392">
        <v>13</v>
      </c>
      <c r="O9" s="77">
        <v>0.69970788629972047</v>
      </c>
    </row>
    <row r="10" spans="1:17" ht="15" customHeight="1" x14ac:dyDescent="0.2">
      <c r="A10" s="78" t="s">
        <v>107</v>
      </c>
      <c r="B10" s="79">
        <f t="shared" ref="B10:D10" si="0">SUM(B6:B9)</f>
        <v>13404530</v>
      </c>
      <c r="C10" s="79">
        <f>SUM(C6:C9)</f>
        <v>35985</v>
      </c>
      <c r="D10" s="79">
        <f t="shared" si="0"/>
        <v>1688321</v>
      </c>
      <c r="E10" s="79">
        <f>SUM(E6:E9)</f>
        <v>4591812</v>
      </c>
      <c r="F10" s="79">
        <f>SUM(F6:F9)</f>
        <v>3639826</v>
      </c>
      <c r="G10" s="79">
        <f>SUM(G6:G9)</f>
        <v>1939440</v>
      </c>
      <c r="H10" s="79">
        <f>SUM(H6:H9)</f>
        <v>846437</v>
      </c>
      <c r="I10" s="82">
        <f>'Tabell 5'!B79</f>
        <v>0.33581848822748728</v>
      </c>
      <c r="J10" s="81"/>
      <c r="K10" s="83">
        <f>SUM(K6:K9)</f>
        <v>7272.46</v>
      </c>
      <c r="L10" s="83">
        <f>SUM(L6:L9)</f>
        <v>4844.41</v>
      </c>
      <c r="M10" s="83">
        <f t="shared" ref="M10" si="1">SUM(M6:M9)</f>
        <v>1999.1400000000003</v>
      </c>
      <c r="N10" s="83">
        <f>SUM(N6:N9)</f>
        <v>66</v>
      </c>
      <c r="O10" s="84">
        <f>'Tabell 15'!L9</f>
        <v>0.89106214084250823</v>
      </c>
      <c r="P10" s="54">
        <f>'Tabell 5'!B38</f>
        <v>4501489</v>
      </c>
      <c r="Q10" s="85"/>
    </row>
    <row r="11" spans="1:17" s="92" customFormat="1" ht="15" customHeight="1" x14ac:dyDescent="0.2">
      <c r="A11" s="86"/>
      <c r="B11" s="87"/>
      <c r="C11" s="87"/>
      <c r="D11" s="87"/>
      <c r="E11" s="88"/>
      <c r="F11" s="87"/>
      <c r="G11" s="87"/>
      <c r="H11" s="87"/>
      <c r="I11" s="89"/>
      <c r="J11" s="89"/>
      <c r="K11" s="90"/>
      <c r="L11" s="90"/>
      <c r="M11" s="90"/>
      <c r="N11" s="90"/>
      <c r="O11" s="91"/>
      <c r="P11" s="54"/>
    </row>
    <row r="12" spans="1:17" s="92" customFormat="1" ht="15" customHeight="1" x14ac:dyDescent="0.2">
      <c r="A12" s="78" t="s">
        <v>170</v>
      </c>
      <c r="B12" s="79"/>
      <c r="C12" s="79"/>
      <c r="D12" s="79"/>
      <c r="E12" s="80"/>
      <c r="F12" s="79"/>
      <c r="G12" s="79"/>
      <c r="H12" s="79"/>
      <c r="I12" s="81"/>
      <c r="J12" s="81"/>
      <c r="K12" s="83"/>
      <c r="L12" s="83"/>
      <c r="M12" s="83"/>
      <c r="N12" s="83"/>
      <c r="O12" s="84"/>
      <c r="P12" s="54"/>
    </row>
    <row r="13" spans="1:17" ht="15" customHeight="1" x14ac:dyDescent="0.2">
      <c r="A13" s="71" t="s">
        <v>4</v>
      </c>
      <c r="B13" s="72">
        <v>1809455</v>
      </c>
      <c r="C13" s="72">
        <v>-110</v>
      </c>
      <c r="D13" s="72">
        <v>26516</v>
      </c>
      <c r="E13" s="72">
        <v>316538</v>
      </c>
      <c r="F13" s="72">
        <v>0</v>
      </c>
      <c r="G13" s="72">
        <v>38747</v>
      </c>
      <c r="H13" s="72">
        <v>17092</v>
      </c>
      <c r="I13" s="75">
        <v>7.5524797000000005E-2</v>
      </c>
      <c r="J13" s="74"/>
      <c r="K13" s="76">
        <v>986.99</v>
      </c>
      <c r="L13" s="76">
        <v>331.23</v>
      </c>
      <c r="M13" s="76">
        <v>128.29</v>
      </c>
      <c r="N13" s="392">
        <v>6</v>
      </c>
      <c r="O13" s="77">
        <v>1.172445975065034</v>
      </c>
    </row>
    <row r="14" spans="1:17" ht="15" customHeight="1" x14ac:dyDescent="0.2">
      <c r="A14" s="71" t="s">
        <v>196</v>
      </c>
      <c r="B14" s="72">
        <v>1315161</v>
      </c>
      <c r="C14" s="72">
        <v>22966</v>
      </c>
      <c r="D14" s="72">
        <v>286035</v>
      </c>
      <c r="E14" s="72">
        <v>39627</v>
      </c>
      <c r="F14" s="72">
        <v>894048</v>
      </c>
      <c r="G14" s="72">
        <v>48688</v>
      </c>
      <c r="H14" s="72">
        <v>16566</v>
      </c>
      <c r="I14" s="75">
        <v>3.3674447904788098E-3</v>
      </c>
      <c r="J14" s="74"/>
      <c r="K14" s="76">
        <v>800</v>
      </c>
      <c r="L14" s="76">
        <v>600</v>
      </c>
      <c r="M14" s="76">
        <v>127</v>
      </c>
      <c r="N14" s="392">
        <v>0</v>
      </c>
      <c r="O14" s="77">
        <v>0.10942711438466667</v>
      </c>
    </row>
    <row r="15" spans="1:17" ht="15" customHeight="1" x14ac:dyDescent="0.2">
      <c r="A15" s="78" t="s">
        <v>157</v>
      </c>
      <c r="B15" s="79">
        <f t="shared" ref="B15:H15" si="2">SUM(B13:B14)</f>
        <v>3124616</v>
      </c>
      <c r="C15" s="79">
        <f t="shared" si="2"/>
        <v>22856</v>
      </c>
      <c r="D15" s="79">
        <f t="shared" si="2"/>
        <v>312551</v>
      </c>
      <c r="E15" s="79">
        <f t="shared" si="2"/>
        <v>356165</v>
      </c>
      <c r="F15" s="79">
        <f t="shared" si="2"/>
        <v>894048</v>
      </c>
      <c r="G15" s="79">
        <f t="shared" si="2"/>
        <v>87435</v>
      </c>
      <c r="H15" s="79">
        <f t="shared" si="2"/>
        <v>33658</v>
      </c>
      <c r="I15" s="82">
        <f>P15/B15</f>
        <v>2.7852062461435262E-2</v>
      </c>
      <c r="J15" s="81"/>
      <c r="K15" s="83">
        <f>SUM(K13:K14)</f>
        <v>1786.99</v>
      </c>
      <c r="L15" s="83">
        <f>SUM(L13:L14)</f>
        <v>931.23</v>
      </c>
      <c r="M15" s="83">
        <f>SUM(M13:M14)</f>
        <v>255.29</v>
      </c>
      <c r="N15" s="83">
        <f>SUM(N13:N14)</f>
        <v>6</v>
      </c>
      <c r="O15" s="84">
        <f>'Tabell 15'!F12/'Tabell 1'!L15</f>
        <v>0.48753320764106745</v>
      </c>
      <c r="P15" s="54">
        <f>'Tabell 2'!D13+'Tabell 2'!J13</f>
        <v>87027</v>
      </c>
    </row>
    <row r="16" spans="1:17" s="92" customFormat="1" ht="15" customHeight="1" x14ac:dyDescent="0.2">
      <c r="A16" s="93"/>
      <c r="B16" s="94"/>
      <c r="C16" s="94"/>
      <c r="D16" s="94"/>
      <c r="E16" s="95"/>
      <c r="F16" s="94"/>
      <c r="G16" s="94"/>
      <c r="H16" s="94"/>
      <c r="I16" s="96"/>
      <c r="J16" s="96"/>
      <c r="N16" s="393"/>
      <c r="O16" s="77"/>
      <c r="P16" s="54"/>
    </row>
    <row r="17" spans="1:16" ht="15" customHeight="1" x14ac:dyDescent="0.2">
      <c r="A17" s="78" t="s">
        <v>11</v>
      </c>
      <c r="B17" s="79">
        <f>B10+B15</f>
        <v>16529146</v>
      </c>
      <c r="C17" s="79">
        <f t="shared" ref="C17:G17" si="3">C10+C15</f>
        <v>58841</v>
      </c>
      <c r="D17" s="79">
        <f t="shared" si="3"/>
        <v>2000872</v>
      </c>
      <c r="E17" s="79">
        <f t="shared" si="3"/>
        <v>4947977</v>
      </c>
      <c r="F17" s="79">
        <f t="shared" si="3"/>
        <v>4533874</v>
      </c>
      <c r="G17" s="79">
        <f t="shared" si="3"/>
        <v>2026875</v>
      </c>
      <c r="H17" s="79">
        <f>H10+H15</f>
        <v>880095</v>
      </c>
      <c r="I17" s="82">
        <f>(P10+P15)/B17</f>
        <v>0.27760151673897732</v>
      </c>
      <c r="J17" s="81"/>
      <c r="K17" s="289">
        <f>K10+K15</f>
        <v>9059.4500000000007</v>
      </c>
      <c r="L17" s="289">
        <f>L10+L15</f>
        <v>5775.6399999999994</v>
      </c>
      <c r="M17" s="289">
        <f>M10+M15</f>
        <v>2254.4300000000003</v>
      </c>
      <c r="N17" s="97">
        <f>N10+N15</f>
        <v>72</v>
      </c>
      <c r="O17" s="98">
        <f>('Tabell 15'!F9+'Tabell 15'!F12)/('Tabell 1'!L17)</f>
        <v>0.8259995246709364</v>
      </c>
    </row>
    <row r="18" spans="1:16" ht="11.25" customHeight="1" x14ac:dyDescent="0.25">
      <c r="A18" s="71"/>
      <c r="B18" s="99"/>
      <c r="C18" s="99"/>
      <c r="D18" s="99"/>
      <c r="E18" s="99"/>
      <c r="F18" s="71"/>
      <c r="G18" s="71"/>
      <c r="H18" s="100"/>
      <c r="I18" s="100"/>
    </row>
    <row r="19" spans="1:16" ht="11.25" customHeight="1" x14ac:dyDescent="0.25">
      <c r="A19" s="55" t="s">
        <v>167</v>
      </c>
      <c r="B19" s="73"/>
      <c r="C19" s="73"/>
      <c r="D19" s="73"/>
      <c r="E19" s="73"/>
      <c r="F19" s="71"/>
      <c r="G19" s="71"/>
      <c r="H19" s="101"/>
      <c r="I19" s="101"/>
    </row>
    <row r="20" spans="1:16" ht="11.25" customHeight="1" x14ac:dyDescent="0.25">
      <c r="A20" s="71" t="s">
        <v>168</v>
      </c>
      <c r="B20" s="73"/>
      <c r="C20" s="73"/>
      <c r="D20" s="73"/>
      <c r="E20" s="73"/>
      <c r="F20" s="71"/>
      <c r="G20" s="71"/>
      <c r="H20" s="100"/>
      <c r="I20" s="100"/>
    </row>
    <row r="21" spans="1:16" ht="11.25" customHeight="1" x14ac:dyDescent="0.25">
      <c r="A21" s="71"/>
      <c r="B21" s="102"/>
      <c r="C21" s="102"/>
      <c r="F21" s="71"/>
      <c r="G21" s="71"/>
      <c r="H21" s="100"/>
      <c r="I21" s="100"/>
    </row>
    <row r="22" spans="1:16" s="92" customFormat="1" ht="11.25" customHeight="1" x14ac:dyDescent="0.25">
      <c r="A22" s="71"/>
      <c r="B22" s="103"/>
      <c r="C22" s="103"/>
      <c r="D22" s="103"/>
      <c r="E22" s="103"/>
      <c r="F22" s="71"/>
      <c r="G22" s="71"/>
      <c r="H22" s="100"/>
      <c r="I22" s="100"/>
      <c r="J22" s="12"/>
      <c r="K22" s="12"/>
      <c r="L22" s="12"/>
      <c r="P22" s="54"/>
    </row>
    <row r="23" spans="1:16" ht="11.25" customHeight="1" x14ac:dyDescent="0.25">
      <c r="A23" s="103"/>
      <c r="B23" s="54">
        <f>B17</f>
        <v>16529146</v>
      </c>
      <c r="F23" s="71"/>
      <c r="G23" s="71"/>
      <c r="H23" s="100"/>
      <c r="I23" s="100"/>
    </row>
    <row r="24" spans="1:16" ht="11.25" customHeight="1" x14ac:dyDescent="0.25">
      <c r="A24" s="103"/>
    </row>
  </sheetData>
  <mergeCells count="2">
    <mergeCell ref="B3:H3"/>
    <mergeCell ref="K3:N3"/>
  </mergeCells>
  <conditionalFormatting sqref="A1">
    <cfRule type="cellIs" dxfId="9" priority="4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6"/>
  <sheetViews>
    <sheetView showGridLines="0" zoomScale="115" zoomScaleNormal="115" workbookViewId="0">
      <selection activeCell="D7" sqref="D7"/>
    </sheetView>
  </sheetViews>
  <sheetFormatPr baseColWidth="10" defaultColWidth="11.44140625" defaultRowHeight="11.25" customHeight="1" x14ac:dyDescent="0.25"/>
  <cols>
    <col min="1" max="1" width="39.44140625" style="55" customWidth="1"/>
    <col min="2" max="2" width="10" style="103" customWidth="1"/>
    <col min="3" max="3" width="1.44140625" style="103" customWidth="1"/>
    <col min="4" max="7" width="10.44140625" style="103" customWidth="1"/>
    <col min="8" max="8" width="10.44140625" style="55" customWidth="1"/>
    <col min="9" max="9" width="2.44140625" style="55" customWidth="1"/>
    <col min="10" max="11" width="8" style="55" customWidth="1"/>
    <col min="12" max="13" width="8" style="58" customWidth="1"/>
    <col min="14" max="14" width="8" style="12" customWidth="1"/>
    <col min="15" max="15" width="8.5546875" style="12" customWidth="1"/>
    <col min="16" max="16" width="11" style="12" customWidth="1"/>
    <col min="17" max="17" width="7.88671875" style="55" customWidth="1"/>
    <col min="18" max="18" width="8.5546875" style="55" bestFit="1" customWidth="1"/>
    <col min="19" max="19" width="8.5546875" style="55" customWidth="1"/>
    <col min="20" max="20" width="6.88671875" style="55" customWidth="1"/>
    <col min="21" max="252" width="11.44140625" style="55"/>
    <col min="253" max="253" width="43.109375" style="55" customWidth="1"/>
    <col min="254" max="254" width="10.5546875" style="55" customWidth="1"/>
    <col min="255" max="255" width="10" style="55" bestFit="1" customWidth="1"/>
    <col min="256" max="256" width="9.109375" style="55" customWidth="1"/>
    <col min="257" max="257" width="7" style="55" customWidth="1"/>
    <col min="258" max="258" width="10.5546875" style="55" bestFit="1" customWidth="1"/>
    <col min="259" max="259" width="11.88671875" style="55" bestFit="1" customWidth="1"/>
    <col min="260" max="261" width="11" style="55" bestFit="1" customWidth="1"/>
    <col min="262" max="262" width="10.88671875" style="55" bestFit="1" customWidth="1"/>
    <col min="263" max="263" width="9.109375" style="55" bestFit="1" customWidth="1"/>
    <col min="264" max="265" width="11.5546875" style="55" customWidth="1"/>
    <col min="266" max="266" width="14.44140625" style="55" customWidth="1"/>
    <col min="267" max="267" width="8.5546875" style="55" customWidth="1"/>
    <col min="268" max="269" width="11.44140625" style="55" customWidth="1"/>
    <col min="270" max="508" width="11.44140625" style="55"/>
    <col min="509" max="509" width="43.109375" style="55" customWidth="1"/>
    <col min="510" max="510" width="10.5546875" style="55" customWidth="1"/>
    <col min="511" max="511" width="10" style="55" bestFit="1" customWidth="1"/>
    <col min="512" max="512" width="9.109375" style="55" customWidth="1"/>
    <col min="513" max="513" width="7" style="55" customWidth="1"/>
    <col min="514" max="514" width="10.5546875" style="55" bestFit="1" customWidth="1"/>
    <col min="515" max="515" width="11.88671875" style="55" bestFit="1" customWidth="1"/>
    <col min="516" max="517" width="11" style="55" bestFit="1" customWidth="1"/>
    <col min="518" max="518" width="10.88671875" style="55" bestFit="1" customWidth="1"/>
    <col min="519" max="519" width="9.109375" style="55" bestFit="1" customWidth="1"/>
    <col min="520" max="521" width="11.5546875" style="55" customWidth="1"/>
    <col min="522" max="522" width="14.44140625" style="55" customWidth="1"/>
    <col min="523" max="523" width="8.5546875" style="55" customWidth="1"/>
    <col min="524" max="525" width="11.44140625" style="55" customWidth="1"/>
    <col min="526" max="764" width="11.44140625" style="55"/>
    <col min="765" max="765" width="43.109375" style="55" customWidth="1"/>
    <col min="766" max="766" width="10.5546875" style="55" customWidth="1"/>
    <col min="767" max="767" width="10" style="55" bestFit="1" customWidth="1"/>
    <col min="768" max="768" width="9.109375" style="55" customWidth="1"/>
    <col min="769" max="769" width="7" style="55" customWidth="1"/>
    <col min="770" max="770" width="10.5546875" style="55" bestFit="1" customWidth="1"/>
    <col min="771" max="771" width="11.88671875" style="55" bestFit="1" customWidth="1"/>
    <col min="772" max="773" width="11" style="55" bestFit="1" customWidth="1"/>
    <col min="774" max="774" width="10.88671875" style="55" bestFit="1" customWidth="1"/>
    <col min="775" max="775" width="9.109375" style="55" bestFit="1" customWidth="1"/>
    <col min="776" max="777" width="11.5546875" style="55" customWidth="1"/>
    <col min="778" max="778" width="14.44140625" style="55" customWidth="1"/>
    <col min="779" max="779" width="8.5546875" style="55" customWidth="1"/>
    <col min="780" max="781" width="11.44140625" style="55" customWidth="1"/>
    <col min="782" max="1020" width="11.44140625" style="55"/>
    <col min="1021" max="1021" width="43.109375" style="55" customWidth="1"/>
    <col min="1022" max="1022" width="10.5546875" style="55" customWidth="1"/>
    <col min="1023" max="1023" width="10" style="55" bestFit="1" customWidth="1"/>
    <col min="1024" max="1024" width="9.109375" style="55" customWidth="1"/>
    <col min="1025" max="1025" width="7" style="55" customWidth="1"/>
    <col min="1026" max="1026" width="10.5546875" style="55" bestFit="1" customWidth="1"/>
    <col min="1027" max="1027" width="11.88671875" style="55" bestFit="1" customWidth="1"/>
    <col min="1028" max="1029" width="11" style="55" bestFit="1" customWidth="1"/>
    <col min="1030" max="1030" width="10.88671875" style="55" bestFit="1" customWidth="1"/>
    <col min="1031" max="1031" width="9.109375" style="55" bestFit="1" customWidth="1"/>
    <col min="1032" max="1033" width="11.5546875" style="55" customWidth="1"/>
    <col min="1034" max="1034" width="14.44140625" style="55" customWidth="1"/>
    <col min="1035" max="1035" width="8.5546875" style="55" customWidth="1"/>
    <col min="1036" max="1037" width="11.44140625" style="55" customWidth="1"/>
    <col min="1038" max="1276" width="11.44140625" style="55"/>
    <col min="1277" max="1277" width="43.109375" style="55" customWidth="1"/>
    <col min="1278" max="1278" width="10.5546875" style="55" customWidth="1"/>
    <col min="1279" max="1279" width="10" style="55" bestFit="1" customWidth="1"/>
    <col min="1280" max="1280" width="9.109375" style="55" customWidth="1"/>
    <col min="1281" max="1281" width="7" style="55" customWidth="1"/>
    <col min="1282" max="1282" width="10.5546875" style="55" bestFit="1" customWidth="1"/>
    <col min="1283" max="1283" width="11.88671875" style="55" bestFit="1" customWidth="1"/>
    <col min="1284" max="1285" width="11" style="55" bestFit="1" customWidth="1"/>
    <col min="1286" max="1286" width="10.88671875" style="55" bestFit="1" customWidth="1"/>
    <col min="1287" max="1287" width="9.109375" style="55" bestFit="1" customWidth="1"/>
    <col min="1288" max="1289" width="11.5546875" style="55" customWidth="1"/>
    <col min="1290" max="1290" width="14.44140625" style="55" customWidth="1"/>
    <col min="1291" max="1291" width="8.5546875" style="55" customWidth="1"/>
    <col min="1292" max="1293" width="11.44140625" style="55" customWidth="1"/>
    <col min="1294" max="1532" width="11.44140625" style="55"/>
    <col min="1533" max="1533" width="43.109375" style="55" customWidth="1"/>
    <col min="1534" max="1534" width="10.5546875" style="55" customWidth="1"/>
    <col min="1535" max="1535" width="10" style="55" bestFit="1" customWidth="1"/>
    <col min="1536" max="1536" width="9.109375" style="55" customWidth="1"/>
    <col min="1537" max="1537" width="7" style="55" customWidth="1"/>
    <col min="1538" max="1538" width="10.5546875" style="55" bestFit="1" customWidth="1"/>
    <col min="1539" max="1539" width="11.88671875" style="55" bestFit="1" customWidth="1"/>
    <col min="1540" max="1541" width="11" style="55" bestFit="1" customWidth="1"/>
    <col min="1542" max="1542" width="10.88671875" style="55" bestFit="1" customWidth="1"/>
    <col min="1543" max="1543" width="9.109375" style="55" bestFit="1" customWidth="1"/>
    <col min="1544" max="1545" width="11.5546875" style="55" customWidth="1"/>
    <col min="1546" max="1546" width="14.44140625" style="55" customWidth="1"/>
    <col min="1547" max="1547" width="8.5546875" style="55" customWidth="1"/>
    <col min="1548" max="1549" width="11.44140625" style="55" customWidth="1"/>
    <col min="1550" max="1788" width="11.44140625" style="55"/>
    <col min="1789" max="1789" width="43.109375" style="55" customWidth="1"/>
    <col min="1790" max="1790" width="10.5546875" style="55" customWidth="1"/>
    <col min="1791" max="1791" width="10" style="55" bestFit="1" customWidth="1"/>
    <col min="1792" max="1792" width="9.109375" style="55" customWidth="1"/>
    <col min="1793" max="1793" width="7" style="55" customWidth="1"/>
    <col min="1794" max="1794" width="10.5546875" style="55" bestFit="1" customWidth="1"/>
    <col min="1795" max="1795" width="11.88671875" style="55" bestFit="1" customWidth="1"/>
    <col min="1796" max="1797" width="11" style="55" bestFit="1" customWidth="1"/>
    <col min="1798" max="1798" width="10.88671875" style="55" bestFit="1" customWidth="1"/>
    <col min="1799" max="1799" width="9.109375" style="55" bestFit="1" customWidth="1"/>
    <col min="1800" max="1801" width="11.5546875" style="55" customWidth="1"/>
    <col min="1802" max="1802" width="14.44140625" style="55" customWidth="1"/>
    <col min="1803" max="1803" width="8.5546875" style="55" customWidth="1"/>
    <col min="1804" max="1805" width="11.44140625" style="55" customWidth="1"/>
    <col min="1806" max="2044" width="11.44140625" style="55"/>
    <col min="2045" max="2045" width="43.109375" style="55" customWidth="1"/>
    <col min="2046" max="2046" width="10.5546875" style="55" customWidth="1"/>
    <col min="2047" max="2047" width="10" style="55" bestFit="1" customWidth="1"/>
    <col min="2048" max="2048" width="9.109375" style="55" customWidth="1"/>
    <col min="2049" max="2049" width="7" style="55" customWidth="1"/>
    <col min="2050" max="2050" width="10.5546875" style="55" bestFit="1" customWidth="1"/>
    <col min="2051" max="2051" width="11.88671875" style="55" bestFit="1" customWidth="1"/>
    <col min="2052" max="2053" width="11" style="55" bestFit="1" customWidth="1"/>
    <col min="2054" max="2054" width="10.88671875" style="55" bestFit="1" customWidth="1"/>
    <col min="2055" max="2055" width="9.109375" style="55" bestFit="1" customWidth="1"/>
    <col min="2056" max="2057" width="11.5546875" style="55" customWidth="1"/>
    <col min="2058" max="2058" width="14.44140625" style="55" customWidth="1"/>
    <col min="2059" max="2059" width="8.5546875" style="55" customWidth="1"/>
    <col min="2060" max="2061" width="11.44140625" style="55" customWidth="1"/>
    <col min="2062" max="2300" width="11.44140625" style="55"/>
    <col min="2301" max="2301" width="43.109375" style="55" customWidth="1"/>
    <col min="2302" max="2302" width="10.5546875" style="55" customWidth="1"/>
    <col min="2303" max="2303" width="10" style="55" bestFit="1" customWidth="1"/>
    <col min="2304" max="2304" width="9.109375" style="55" customWidth="1"/>
    <col min="2305" max="2305" width="7" style="55" customWidth="1"/>
    <col min="2306" max="2306" width="10.5546875" style="55" bestFit="1" customWidth="1"/>
    <col min="2307" max="2307" width="11.88671875" style="55" bestFit="1" customWidth="1"/>
    <col min="2308" max="2309" width="11" style="55" bestFit="1" customWidth="1"/>
    <col min="2310" max="2310" width="10.88671875" style="55" bestFit="1" customWidth="1"/>
    <col min="2311" max="2311" width="9.109375" style="55" bestFit="1" customWidth="1"/>
    <col min="2312" max="2313" width="11.5546875" style="55" customWidth="1"/>
    <col min="2314" max="2314" width="14.44140625" style="55" customWidth="1"/>
    <col min="2315" max="2315" width="8.5546875" style="55" customWidth="1"/>
    <col min="2316" max="2317" width="11.44140625" style="55" customWidth="1"/>
    <col min="2318" max="2556" width="11.44140625" style="55"/>
    <col min="2557" max="2557" width="43.109375" style="55" customWidth="1"/>
    <col min="2558" max="2558" width="10.5546875" style="55" customWidth="1"/>
    <col min="2559" max="2559" width="10" style="55" bestFit="1" customWidth="1"/>
    <col min="2560" max="2560" width="9.109375" style="55" customWidth="1"/>
    <col min="2561" max="2561" width="7" style="55" customWidth="1"/>
    <col min="2562" max="2562" width="10.5546875" style="55" bestFit="1" customWidth="1"/>
    <col min="2563" max="2563" width="11.88671875" style="55" bestFit="1" customWidth="1"/>
    <col min="2564" max="2565" width="11" style="55" bestFit="1" customWidth="1"/>
    <col min="2566" max="2566" width="10.88671875" style="55" bestFit="1" customWidth="1"/>
    <col min="2567" max="2567" width="9.109375" style="55" bestFit="1" customWidth="1"/>
    <col min="2568" max="2569" width="11.5546875" style="55" customWidth="1"/>
    <col min="2570" max="2570" width="14.44140625" style="55" customWidth="1"/>
    <col min="2571" max="2571" width="8.5546875" style="55" customWidth="1"/>
    <col min="2572" max="2573" width="11.44140625" style="55" customWidth="1"/>
    <col min="2574" max="2812" width="11.44140625" style="55"/>
    <col min="2813" max="2813" width="43.109375" style="55" customWidth="1"/>
    <col min="2814" max="2814" width="10.5546875" style="55" customWidth="1"/>
    <col min="2815" max="2815" width="10" style="55" bestFit="1" customWidth="1"/>
    <col min="2816" max="2816" width="9.109375" style="55" customWidth="1"/>
    <col min="2817" max="2817" width="7" style="55" customWidth="1"/>
    <col min="2818" max="2818" width="10.5546875" style="55" bestFit="1" customWidth="1"/>
    <col min="2819" max="2819" width="11.88671875" style="55" bestFit="1" customWidth="1"/>
    <col min="2820" max="2821" width="11" style="55" bestFit="1" customWidth="1"/>
    <col min="2822" max="2822" width="10.88671875" style="55" bestFit="1" customWidth="1"/>
    <col min="2823" max="2823" width="9.109375" style="55" bestFit="1" customWidth="1"/>
    <col min="2824" max="2825" width="11.5546875" style="55" customWidth="1"/>
    <col min="2826" max="2826" width="14.44140625" style="55" customWidth="1"/>
    <col min="2827" max="2827" width="8.5546875" style="55" customWidth="1"/>
    <col min="2828" max="2829" width="11.44140625" style="55" customWidth="1"/>
    <col min="2830" max="3068" width="11.44140625" style="55"/>
    <col min="3069" max="3069" width="43.109375" style="55" customWidth="1"/>
    <col min="3070" max="3070" width="10.5546875" style="55" customWidth="1"/>
    <col min="3071" max="3071" width="10" style="55" bestFit="1" customWidth="1"/>
    <col min="3072" max="3072" width="9.109375" style="55" customWidth="1"/>
    <col min="3073" max="3073" width="7" style="55" customWidth="1"/>
    <col min="3074" max="3074" width="10.5546875" style="55" bestFit="1" customWidth="1"/>
    <col min="3075" max="3075" width="11.88671875" style="55" bestFit="1" customWidth="1"/>
    <col min="3076" max="3077" width="11" style="55" bestFit="1" customWidth="1"/>
    <col min="3078" max="3078" width="10.88671875" style="55" bestFit="1" customWidth="1"/>
    <col min="3079" max="3079" width="9.109375" style="55" bestFit="1" customWidth="1"/>
    <col min="3080" max="3081" width="11.5546875" style="55" customWidth="1"/>
    <col min="3082" max="3082" width="14.44140625" style="55" customWidth="1"/>
    <col min="3083" max="3083" width="8.5546875" style="55" customWidth="1"/>
    <col min="3084" max="3085" width="11.44140625" style="55" customWidth="1"/>
    <col min="3086" max="3324" width="11.44140625" style="55"/>
    <col min="3325" max="3325" width="43.109375" style="55" customWidth="1"/>
    <col min="3326" max="3326" width="10.5546875" style="55" customWidth="1"/>
    <col min="3327" max="3327" width="10" style="55" bestFit="1" customWidth="1"/>
    <col min="3328" max="3328" width="9.109375" style="55" customWidth="1"/>
    <col min="3329" max="3329" width="7" style="55" customWidth="1"/>
    <col min="3330" max="3330" width="10.5546875" style="55" bestFit="1" customWidth="1"/>
    <col min="3331" max="3331" width="11.88671875" style="55" bestFit="1" customWidth="1"/>
    <col min="3332" max="3333" width="11" style="55" bestFit="1" customWidth="1"/>
    <col min="3334" max="3334" width="10.88671875" style="55" bestFit="1" customWidth="1"/>
    <col min="3335" max="3335" width="9.109375" style="55" bestFit="1" customWidth="1"/>
    <col min="3336" max="3337" width="11.5546875" style="55" customWidth="1"/>
    <col min="3338" max="3338" width="14.44140625" style="55" customWidth="1"/>
    <col min="3339" max="3339" width="8.5546875" style="55" customWidth="1"/>
    <col min="3340" max="3341" width="11.44140625" style="55" customWidth="1"/>
    <col min="3342" max="3580" width="11.44140625" style="55"/>
    <col min="3581" max="3581" width="43.109375" style="55" customWidth="1"/>
    <col min="3582" max="3582" width="10.5546875" style="55" customWidth="1"/>
    <col min="3583" max="3583" width="10" style="55" bestFit="1" customWidth="1"/>
    <col min="3584" max="3584" width="9.109375" style="55" customWidth="1"/>
    <col min="3585" max="3585" width="7" style="55" customWidth="1"/>
    <col min="3586" max="3586" width="10.5546875" style="55" bestFit="1" customWidth="1"/>
    <col min="3587" max="3587" width="11.88671875" style="55" bestFit="1" customWidth="1"/>
    <col min="3588" max="3589" width="11" style="55" bestFit="1" customWidth="1"/>
    <col min="3590" max="3590" width="10.88671875" style="55" bestFit="1" customWidth="1"/>
    <col min="3591" max="3591" width="9.109375" style="55" bestFit="1" customWidth="1"/>
    <col min="3592" max="3593" width="11.5546875" style="55" customWidth="1"/>
    <col min="3594" max="3594" width="14.44140625" style="55" customWidth="1"/>
    <col min="3595" max="3595" width="8.5546875" style="55" customWidth="1"/>
    <col min="3596" max="3597" width="11.44140625" style="55" customWidth="1"/>
    <col min="3598" max="3836" width="11.44140625" style="55"/>
    <col min="3837" max="3837" width="43.109375" style="55" customWidth="1"/>
    <col min="3838" max="3838" width="10.5546875" style="55" customWidth="1"/>
    <col min="3839" max="3839" width="10" style="55" bestFit="1" customWidth="1"/>
    <col min="3840" max="3840" width="9.109375" style="55" customWidth="1"/>
    <col min="3841" max="3841" width="7" style="55" customWidth="1"/>
    <col min="3842" max="3842" width="10.5546875" style="55" bestFit="1" customWidth="1"/>
    <col min="3843" max="3843" width="11.88671875" style="55" bestFit="1" customWidth="1"/>
    <col min="3844" max="3845" width="11" style="55" bestFit="1" customWidth="1"/>
    <col min="3846" max="3846" width="10.88671875" style="55" bestFit="1" customWidth="1"/>
    <col min="3847" max="3847" width="9.109375" style="55" bestFit="1" customWidth="1"/>
    <col min="3848" max="3849" width="11.5546875" style="55" customWidth="1"/>
    <col min="3850" max="3850" width="14.44140625" style="55" customWidth="1"/>
    <col min="3851" max="3851" width="8.5546875" style="55" customWidth="1"/>
    <col min="3852" max="3853" width="11.44140625" style="55" customWidth="1"/>
    <col min="3854" max="4092" width="11.44140625" style="55"/>
    <col min="4093" max="4093" width="43.109375" style="55" customWidth="1"/>
    <col min="4094" max="4094" width="10.5546875" style="55" customWidth="1"/>
    <col min="4095" max="4095" width="10" style="55" bestFit="1" customWidth="1"/>
    <col min="4096" max="4096" width="9.109375" style="55" customWidth="1"/>
    <col min="4097" max="4097" width="7" style="55" customWidth="1"/>
    <col min="4098" max="4098" width="10.5546875" style="55" bestFit="1" customWidth="1"/>
    <col min="4099" max="4099" width="11.88671875" style="55" bestFit="1" customWidth="1"/>
    <col min="4100" max="4101" width="11" style="55" bestFit="1" customWidth="1"/>
    <col min="4102" max="4102" width="10.88671875" style="55" bestFit="1" customWidth="1"/>
    <col min="4103" max="4103" width="9.109375" style="55" bestFit="1" customWidth="1"/>
    <col min="4104" max="4105" width="11.5546875" style="55" customWidth="1"/>
    <col min="4106" max="4106" width="14.44140625" style="55" customWidth="1"/>
    <col min="4107" max="4107" width="8.5546875" style="55" customWidth="1"/>
    <col min="4108" max="4109" width="11.44140625" style="55" customWidth="1"/>
    <col min="4110" max="4348" width="11.44140625" style="55"/>
    <col min="4349" max="4349" width="43.109375" style="55" customWidth="1"/>
    <col min="4350" max="4350" width="10.5546875" style="55" customWidth="1"/>
    <col min="4351" max="4351" width="10" style="55" bestFit="1" customWidth="1"/>
    <col min="4352" max="4352" width="9.109375" style="55" customWidth="1"/>
    <col min="4353" max="4353" width="7" style="55" customWidth="1"/>
    <col min="4354" max="4354" width="10.5546875" style="55" bestFit="1" customWidth="1"/>
    <col min="4355" max="4355" width="11.88671875" style="55" bestFit="1" customWidth="1"/>
    <col min="4356" max="4357" width="11" style="55" bestFit="1" customWidth="1"/>
    <col min="4358" max="4358" width="10.88671875" style="55" bestFit="1" customWidth="1"/>
    <col min="4359" max="4359" width="9.109375" style="55" bestFit="1" customWidth="1"/>
    <col min="4360" max="4361" width="11.5546875" style="55" customWidth="1"/>
    <col min="4362" max="4362" width="14.44140625" style="55" customWidth="1"/>
    <col min="4363" max="4363" width="8.5546875" style="55" customWidth="1"/>
    <col min="4364" max="4365" width="11.44140625" style="55" customWidth="1"/>
    <col min="4366" max="4604" width="11.44140625" style="55"/>
    <col min="4605" max="4605" width="43.109375" style="55" customWidth="1"/>
    <col min="4606" max="4606" width="10.5546875" style="55" customWidth="1"/>
    <col min="4607" max="4607" width="10" style="55" bestFit="1" customWidth="1"/>
    <col min="4608" max="4608" width="9.109375" style="55" customWidth="1"/>
    <col min="4609" max="4609" width="7" style="55" customWidth="1"/>
    <col min="4610" max="4610" width="10.5546875" style="55" bestFit="1" customWidth="1"/>
    <col min="4611" max="4611" width="11.88671875" style="55" bestFit="1" customWidth="1"/>
    <col min="4612" max="4613" width="11" style="55" bestFit="1" customWidth="1"/>
    <col min="4614" max="4614" width="10.88671875" style="55" bestFit="1" customWidth="1"/>
    <col min="4615" max="4615" width="9.109375" style="55" bestFit="1" customWidth="1"/>
    <col min="4616" max="4617" width="11.5546875" style="55" customWidth="1"/>
    <col min="4618" max="4618" width="14.44140625" style="55" customWidth="1"/>
    <col min="4619" max="4619" width="8.5546875" style="55" customWidth="1"/>
    <col min="4620" max="4621" width="11.44140625" style="55" customWidth="1"/>
    <col min="4622" max="4860" width="11.44140625" style="55"/>
    <col min="4861" max="4861" width="43.109375" style="55" customWidth="1"/>
    <col min="4862" max="4862" width="10.5546875" style="55" customWidth="1"/>
    <col min="4863" max="4863" width="10" style="55" bestFit="1" customWidth="1"/>
    <col min="4864" max="4864" width="9.109375" style="55" customWidth="1"/>
    <col min="4865" max="4865" width="7" style="55" customWidth="1"/>
    <col min="4866" max="4866" width="10.5546875" style="55" bestFit="1" customWidth="1"/>
    <col min="4867" max="4867" width="11.88671875" style="55" bestFit="1" customWidth="1"/>
    <col min="4868" max="4869" width="11" style="55" bestFit="1" customWidth="1"/>
    <col min="4870" max="4870" width="10.88671875" style="55" bestFit="1" customWidth="1"/>
    <col min="4871" max="4871" width="9.109375" style="55" bestFit="1" customWidth="1"/>
    <col min="4872" max="4873" width="11.5546875" style="55" customWidth="1"/>
    <col min="4874" max="4874" width="14.44140625" style="55" customWidth="1"/>
    <col min="4875" max="4875" width="8.5546875" style="55" customWidth="1"/>
    <col min="4876" max="4877" width="11.44140625" style="55" customWidth="1"/>
    <col min="4878" max="5116" width="11.44140625" style="55"/>
    <col min="5117" max="5117" width="43.109375" style="55" customWidth="1"/>
    <col min="5118" max="5118" width="10.5546875" style="55" customWidth="1"/>
    <col min="5119" max="5119" width="10" style="55" bestFit="1" customWidth="1"/>
    <col min="5120" max="5120" width="9.109375" style="55" customWidth="1"/>
    <col min="5121" max="5121" width="7" style="55" customWidth="1"/>
    <col min="5122" max="5122" width="10.5546875" style="55" bestFit="1" customWidth="1"/>
    <col min="5123" max="5123" width="11.88671875" style="55" bestFit="1" customWidth="1"/>
    <col min="5124" max="5125" width="11" style="55" bestFit="1" customWidth="1"/>
    <col min="5126" max="5126" width="10.88671875" style="55" bestFit="1" customWidth="1"/>
    <col min="5127" max="5127" width="9.109375" style="55" bestFit="1" customWidth="1"/>
    <col min="5128" max="5129" width="11.5546875" style="55" customWidth="1"/>
    <col min="5130" max="5130" width="14.44140625" style="55" customWidth="1"/>
    <col min="5131" max="5131" width="8.5546875" style="55" customWidth="1"/>
    <col min="5132" max="5133" width="11.44140625" style="55" customWidth="1"/>
    <col min="5134" max="5372" width="11.44140625" style="55"/>
    <col min="5373" max="5373" width="43.109375" style="55" customWidth="1"/>
    <col min="5374" max="5374" width="10.5546875" style="55" customWidth="1"/>
    <col min="5375" max="5375" width="10" style="55" bestFit="1" customWidth="1"/>
    <col min="5376" max="5376" width="9.109375" style="55" customWidth="1"/>
    <col min="5377" max="5377" width="7" style="55" customWidth="1"/>
    <col min="5378" max="5378" width="10.5546875" style="55" bestFit="1" customWidth="1"/>
    <col min="5379" max="5379" width="11.88671875" style="55" bestFit="1" customWidth="1"/>
    <col min="5380" max="5381" width="11" style="55" bestFit="1" customWidth="1"/>
    <col min="5382" max="5382" width="10.88671875" style="55" bestFit="1" customWidth="1"/>
    <col min="5383" max="5383" width="9.109375" style="55" bestFit="1" customWidth="1"/>
    <col min="5384" max="5385" width="11.5546875" style="55" customWidth="1"/>
    <col min="5386" max="5386" width="14.44140625" style="55" customWidth="1"/>
    <col min="5387" max="5387" width="8.5546875" style="55" customWidth="1"/>
    <col min="5388" max="5389" width="11.44140625" style="55" customWidth="1"/>
    <col min="5390" max="5628" width="11.44140625" style="55"/>
    <col min="5629" max="5629" width="43.109375" style="55" customWidth="1"/>
    <col min="5630" max="5630" width="10.5546875" style="55" customWidth="1"/>
    <col min="5631" max="5631" width="10" style="55" bestFit="1" customWidth="1"/>
    <col min="5632" max="5632" width="9.109375" style="55" customWidth="1"/>
    <col min="5633" max="5633" width="7" style="55" customWidth="1"/>
    <col min="5634" max="5634" width="10.5546875" style="55" bestFit="1" customWidth="1"/>
    <col min="5635" max="5635" width="11.88671875" style="55" bestFit="1" customWidth="1"/>
    <col min="5636" max="5637" width="11" style="55" bestFit="1" customWidth="1"/>
    <col min="5638" max="5638" width="10.88671875" style="55" bestFit="1" customWidth="1"/>
    <col min="5639" max="5639" width="9.109375" style="55" bestFit="1" customWidth="1"/>
    <col min="5640" max="5641" width="11.5546875" style="55" customWidth="1"/>
    <col min="5642" max="5642" width="14.44140625" style="55" customWidth="1"/>
    <col min="5643" max="5643" width="8.5546875" style="55" customWidth="1"/>
    <col min="5644" max="5645" width="11.44140625" style="55" customWidth="1"/>
    <col min="5646" max="5884" width="11.44140625" style="55"/>
    <col min="5885" max="5885" width="43.109375" style="55" customWidth="1"/>
    <col min="5886" max="5886" width="10.5546875" style="55" customWidth="1"/>
    <col min="5887" max="5887" width="10" style="55" bestFit="1" customWidth="1"/>
    <col min="5888" max="5888" width="9.109375" style="55" customWidth="1"/>
    <col min="5889" max="5889" width="7" style="55" customWidth="1"/>
    <col min="5890" max="5890" width="10.5546875" style="55" bestFit="1" customWidth="1"/>
    <col min="5891" max="5891" width="11.88671875" style="55" bestFit="1" customWidth="1"/>
    <col min="5892" max="5893" width="11" style="55" bestFit="1" customWidth="1"/>
    <col min="5894" max="5894" width="10.88671875" style="55" bestFit="1" customWidth="1"/>
    <col min="5895" max="5895" width="9.109375" style="55" bestFit="1" customWidth="1"/>
    <col min="5896" max="5897" width="11.5546875" style="55" customWidth="1"/>
    <col min="5898" max="5898" width="14.44140625" style="55" customWidth="1"/>
    <col min="5899" max="5899" width="8.5546875" style="55" customWidth="1"/>
    <col min="5900" max="5901" width="11.44140625" style="55" customWidth="1"/>
    <col min="5902" max="6140" width="11.44140625" style="55"/>
    <col min="6141" max="6141" width="43.109375" style="55" customWidth="1"/>
    <col min="6142" max="6142" width="10.5546875" style="55" customWidth="1"/>
    <col min="6143" max="6143" width="10" style="55" bestFit="1" customWidth="1"/>
    <col min="6144" max="6144" width="9.109375" style="55" customWidth="1"/>
    <col min="6145" max="6145" width="7" style="55" customWidth="1"/>
    <col min="6146" max="6146" width="10.5546875" style="55" bestFit="1" customWidth="1"/>
    <col min="6147" max="6147" width="11.88671875" style="55" bestFit="1" customWidth="1"/>
    <col min="6148" max="6149" width="11" style="55" bestFit="1" customWidth="1"/>
    <col min="6150" max="6150" width="10.88671875" style="55" bestFit="1" customWidth="1"/>
    <col min="6151" max="6151" width="9.109375" style="55" bestFit="1" customWidth="1"/>
    <col min="6152" max="6153" width="11.5546875" style="55" customWidth="1"/>
    <col min="6154" max="6154" width="14.44140625" style="55" customWidth="1"/>
    <col min="6155" max="6155" width="8.5546875" style="55" customWidth="1"/>
    <col min="6156" max="6157" width="11.44140625" style="55" customWidth="1"/>
    <col min="6158" max="6396" width="11.44140625" style="55"/>
    <col min="6397" max="6397" width="43.109375" style="55" customWidth="1"/>
    <col min="6398" max="6398" width="10.5546875" style="55" customWidth="1"/>
    <col min="6399" max="6399" width="10" style="55" bestFit="1" customWidth="1"/>
    <col min="6400" max="6400" width="9.109375" style="55" customWidth="1"/>
    <col min="6401" max="6401" width="7" style="55" customWidth="1"/>
    <col min="6402" max="6402" width="10.5546875" style="55" bestFit="1" customWidth="1"/>
    <col min="6403" max="6403" width="11.88671875" style="55" bestFit="1" customWidth="1"/>
    <col min="6404" max="6405" width="11" style="55" bestFit="1" customWidth="1"/>
    <col min="6406" max="6406" width="10.88671875" style="55" bestFit="1" customWidth="1"/>
    <col min="6407" max="6407" width="9.109375" style="55" bestFit="1" customWidth="1"/>
    <col min="6408" max="6409" width="11.5546875" style="55" customWidth="1"/>
    <col min="6410" max="6410" width="14.44140625" style="55" customWidth="1"/>
    <col min="6411" max="6411" width="8.5546875" style="55" customWidth="1"/>
    <col min="6412" max="6413" width="11.44140625" style="55" customWidth="1"/>
    <col min="6414" max="6652" width="11.44140625" style="55"/>
    <col min="6653" max="6653" width="43.109375" style="55" customWidth="1"/>
    <col min="6654" max="6654" width="10.5546875" style="55" customWidth="1"/>
    <col min="6655" max="6655" width="10" style="55" bestFit="1" customWidth="1"/>
    <col min="6656" max="6656" width="9.109375" style="55" customWidth="1"/>
    <col min="6657" max="6657" width="7" style="55" customWidth="1"/>
    <col min="6658" max="6658" width="10.5546875" style="55" bestFit="1" customWidth="1"/>
    <col min="6659" max="6659" width="11.88671875" style="55" bestFit="1" customWidth="1"/>
    <col min="6660" max="6661" width="11" style="55" bestFit="1" customWidth="1"/>
    <col min="6662" max="6662" width="10.88671875" style="55" bestFit="1" customWidth="1"/>
    <col min="6663" max="6663" width="9.109375" style="55" bestFit="1" customWidth="1"/>
    <col min="6664" max="6665" width="11.5546875" style="55" customWidth="1"/>
    <col min="6666" max="6666" width="14.44140625" style="55" customWidth="1"/>
    <col min="6667" max="6667" width="8.5546875" style="55" customWidth="1"/>
    <col min="6668" max="6669" width="11.44140625" style="55" customWidth="1"/>
    <col min="6670" max="6908" width="11.44140625" style="55"/>
    <col min="6909" max="6909" width="43.109375" style="55" customWidth="1"/>
    <col min="6910" max="6910" width="10.5546875" style="55" customWidth="1"/>
    <col min="6911" max="6911" width="10" style="55" bestFit="1" customWidth="1"/>
    <col min="6912" max="6912" width="9.109375" style="55" customWidth="1"/>
    <col min="6913" max="6913" width="7" style="55" customWidth="1"/>
    <col min="6914" max="6914" width="10.5546875" style="55" bestFit="1" customWidth="1"/>
    <col min="6915" max="6915" width="11.88671875" style="55" bestFit="1" customWidth="1"/>
    <col min="6916" max="6917" width="11" style="55" bestFit="1" customWidth="1"/>
    <col min="6918" max="6918" width="10.88671875" style="55" bestFit="1" customWidth="1"/>
    <col min="6919" max="6919" width="9.109375" style="55" bestFit="1" customWidth="1"/>
    <col min="6920" max="6921" width="11.5546875" style="55" customWidth="1"/>
    <col min="6922" max="6922" width="14.44140625" style="55" customWidth="1"/>
    <col min="6923" max="6923" width="8.5546875" style="55" customWidth="1"/>
    <col min="6924" max="6925" width="11.44140625" style="55" customWidth="1"/>
    <col min="6926" max="7164" width="11.44140625" style="55"/>
    <col min="7165" max="7165" width="43.109375" style="55" customWidth="1"/>
    <col min="7166" max="7166" width="10.5546875" style="55" customWidth="1"/>
    <col min="7167" max="7167" width="10" style="55" bestFit="1" customWidth="1"/>
    <col min="7168" max="7168" width="9.109375" style="55" customWidth="1"/>
    <col min="7169" max="7169" width="7" style="55" customWidth="1"/>
    <col min="7170" max="7170" width="10.5546875" style="55" bestFit="1" customWidth="1"/>
    <col min="7171" max="7171" width="11.88671875" style="55" bestFit="1" customWidth="1"/>
    <col min="7172" max="7173" width="11" style="55" bestFit="1" customWidth="1"/>
    <col min="7174" max="7174" width="10.88671875" style="55" bestFit="1" customWidth="1"/>
    <col min="7175" max="7175" width="9.109375" style="55" bestFit="1" customWidth="1"/>
    <col min="7176" max="7177" width="11.5546875" style="55" customWidth="1"/>
    <col min="7178" max="7178" width="14.44140625" style="55" customWidth="1"/>
    <col min="7179" max="7179" width="8.5546875" style="55" customWidth="1"/>
    <col min="7180" max="7181" width="11.44140625" style="55" customWidth="1"/>
    <col min="7182" max="7420" width="11.44140625" style="55"/>
    <col min="7421" max="7421" width="43.109375" style="55" customWidth="1"/>
    <col min="7422" max="7422" width="10.5546875" style="55" customWidth="1"/>
    <col min="7423" max="7423" width="10" style="55" bestFit="1" customWidth="1"/>
    <col min="7424" max="7424" width="9.109375" style="55" customWidth="1"/>
    <col min="7425" max="7425" width="7" style="55" customWidth="1"/>
    <col min="7426" max="7426" width="10.5546875" style="55" bestFit="1" customWidth="1"/>
    <col min="7427" max="7427" width="11.88671875" style="55" bestFit="1" customWidth="1"/>
    <col min="7428" max="7429" width="11" style="55" bestFit="1" customWidth="1"/>
    <col min="7430" max="7430" width="10.88671875" style="55" bestFit="1" customWidth="1"/>
    <col min="7431" max="7431" width="9.109375" style="55" bestFit="1" customWidth="1"/>
    <col min="7432" max="7433" width="11.5546875" style="55" customWidth="1"/>
    <col min="7434" max="7434" width="14.44140625" style="55" customWidth="1"/>
    <col min="7435" max="7435" width="8.5546875" style="55" customWidth="1"/>
    <col min="7436" max="7437" width="11.44140625" style="55" customWidth="1"/>
    <col min="7438" max="7676" width="11.44140625" style="55"/>
    <col min="7677" max="7677" width="43.109375" style="55" customWidth="1"/>
    <col min="7678" max="7678" width="10.5546875" style="55" customWidth="1"/>
    <col min="7679" max="7679" width="10" style="55" bestFit="1" customWidth="1"/>
    <col min="7680" max="7680" width="9.109375" style="55" customWidth="1"/>
    <col min="7681" max="7681" width="7" style="55" customWidth="1"/>
    <col min="7682" max="7682" width="10.5546875" style="55" bestFit="1" customWidth="1"/>
    <col min="7683" max="7683" width="11.88671875" style="55" bestFit="1" customWidth="1"/>
    <col min="7684" max="7685" width="11" style="55" bestFit="1" customWidth="1"/>
    <col min="7686" max="7686" width="10.88671875" style="55" bestFit="1" customWidth="1"/>
    <col min="7687" max="7687" width="9.109375" style="55" bestFit="1" customWidth="1"/>
    <col min="7688" max="7689" width="11.5546875" style="55" customWidth="1"/>
    <col min="7690" max="7690" width="14.44140625" style="55" customWidth="1"/>
    <col min="7691" max="7691" width="8.5546875" style="55" customWidth="1"/>
    <col min="7692" max="7693" width="11.44140625" style="55" customWidth="1"/>
    <col min="7694" max="7932" width="11.44140625" style="55"/>
    <col min="7933" max="7933" width="43.109375" style="55" customWidth="1"/>
    <col min="7934" max="7934" width="10.5546875" style="55" customWidth="1"/>
    <col min="7935" max="7935" width="10" style="55" bestFit="1" customWidth="1"/>
    <col min="7936" max="7936" width="9.109375" style="55" customWidth="1"/>
    <col min="7937" max="7937" width="7" style="55" customWidth="1"/>
    <col min="7938" max="7938" width="10.5546875" style="55" bestFit="1" customWidth="1"/>
    <col min="7939" max="7939" width="11.88671875" style="55" bestFit="1" customWidth="1"/>
    <col min="7940" max="7941" width="11" style="55" bestFit="1" customWidth="1"/>
    <col min="7942" max="7942" width="10.88671875" style="55" bestFit="1" customWidth="1"/>
    <col min="7943" max="7943" width="9.109375" style="55" bestFit="1" customWidth="1"/>
    <col min="7944" max="7945" width="11.5546875" style="55" customWidth="1"/>
    <col min="7946" max="7946" width="14.44140625" style="55" customWidth="1"/>
    <col min="7947" max="7947" width="8.5546875" style="55" customWidth="1"/>
    <col min="7948" max="7949" width="11.44140625" style="55" customWidth="1"/>
    <col min="7950" max="8188" width="11.44140625" style="55"/>
    <col min="8189" max="8189" width="43.109375" style="55" customWidth="1"/>
    <col min="8190" max="8190" width="10.5546875" style="55" customWidth="1"/>
    <col min="8191" max="8191" width="10" style="55" bestFit="1" customWidth="1"/>
    <col min="8192" max="8192" width="9.109375" style="55" customWidth="1"/>
    <col min="8193" max="8193" width="7" style="55" customWidth="1"/>
    <col min="8194" max="8194" width="10.5546875" style="55" bestFit="1" customWidth="1"/>
    <col min="8195" max="8195" width="11.88671875" style="55" bestFit="1" customWidth="1"/>
    <col min="8196" max="8197" width="11" style="55" bestFit="1" customWidth="1"/>
    <col min="8198" max="8198" width="10.88671875" style="55" bestFit="1" customWidth="1"/>
    <col min="8199" max="8199" width="9.109375" style="55" bestFit="1" customWidth="1"/>
    <col min="8200" max="8201" width="11.5546875" style="55" customWidth="1"/>
    <col min="8202" max="8202" width="14.44140625" style="55" customWidth="1"/>
    <col min="8203" max="8203" width="8.5546875" style="55" customWidth="1"/>
    <col min="8204" max="8205" width="11.44140625" style="55" customWidth="1"/>
    <col min="8206" max="8444" width="11.44140625" style="55"/>
    <col min="8445" max="8445" width="43.109375" style="55" customWidth="1"/>
    <col min="8446" max="8446" width="10.5546875" style="55" customWidth="1"/>
    <col min="8447" max="8447" width="10" style="55" bestFit="1" customWidth="1"/>
    <col min="8448" max="8448" width="9.109375" style="55" customWidth="1"/>
    <col min="8449" max="8449" width="7" style="55" customWidth="1"/>
    <col min="8450" max="8450" width="10.5546875" style="55" bestFit="1" customWidth="1"/>
    <col min="8451" max="8451" width="11.88671875" style="55" bestFit="1" customWidth="1"/>
    <col min="8452" max="8453" width="11" style="55" bestFit="1" customWidth="1"/>
    <col min="8454" max="8454" width="10.88671875" style="55" bestFit="1" customWidth="1"/>
    <col min="8455" max="8455" width="9.109375" style="55" bestFit="1" customWidth="1"/>
    <col min="8456" max="8457" width="11.5546875" style="55" customWidth="1"/>
    <col min="8458" max="8458" width="14.44140625" style="55" customWidth="1"/>
    <col min="8459" max="8459" width="8.5546875" style="55" customWidth="1"/>
    <col min="8460" max="8461" width="11.44140625" style="55" customWidth="1"/>
    <col min="8462" max="8700" width="11.44140625" style="55"/>
    <col min="8701" max="8701" width="43.109375" style="55" customWidth="1"/>
    <col min="8702" max="8702" width="10.5546875" style="55" customWidth="1"/>
    <col min="8703" max="8703" width="10" style="55" bestFit="1" customWidth="1"/>
    <col min="8704" max="8704" width="9.109375" style="55" customWidth="1"/>
    <col min="8705" max="8705" width="7" style="55" customWidth="1"/>
    <col min="8706" max="8706" width="10.5546875" style="55" bestFit="1" customWidth="1"/>
    <col min="8707" max="8707" width="11.88671875" style="55" bestFit="1" customWidth="1"/>
    <col min="8708" max="8709" width="11" style="55" bestFit="1" customWidth="1"/>
    <col min="8710" max="8710" width="10.88671875" style="55" bestFit="1" customWidth="1"/>
    <col min="8711" max="8711" width="9.109375" style="55" bestFit="1" customWidth="1"/>
    <col min="8712" max="8713" width="11.5546875" style="55" customWidth="1"/>
    <col min="8714" max="8714" width="14.44140625" style="55" customWidth="1"/>
    <col min="8715" max="8715" width="8.5546875" style="55" customWidth="1"/>
    <col min="8716" max="8717" width="11.44140625" style="55" customWidth="1"/>
    <col min="8718" max="8956" width="11.44140625" style="55"/>
    <col min="8957" max="8957" width="43.109375" style="55" customWidth="1"/>
    <col min="8958" max="8958" width="10.5546875" style="55" customWidth="1"/>
    <col min="8959" max="8959" width="10" style="55" bestFit="1" customWidth="1"/>
    <col min="8960" max="8960" width="9.109375" style="55" customWidth="1"/>
    <col min="8961" max="8961" width="7" style="55" customWidth="1"/>
    <col min="8962" max="8962" width="10.5546875" style="55" bestFit="1" customWidth="1"/>
    <col min="8963" max="8963" width="11.88671875" style="55" bestFit="1" customWidth="1"/>
    <col min="8964" max="8965" width="11" style="55" bestFit="1" customWidth="1"/>
    <col min="8966" max="8966" width="10.88671875" style="55" bestFit="1" customWidth="1"/>
    <col min="8967" max="8967" width="9.109375" style="55" bestFit="1" customWidth="1"/>
    <col min="8968" max="8969" width="11.5546875" style="55" customWidth="1"/>
    <col min="8970" max="8970" width="14.44140625" style="55" customWidth="1"/>
    <col min="8971" max="8971" width="8.5546875" style="55" customWidth="1"/>
    <col min="8972" max="8973" width="11.44140625" style="55" customWidth="1"/>
    <col min="8974" max="9212" width="11.44140625" style="55"/>
    <col min="9213" max="9213" width="43.109375" style="55" customWidth="1"/>
    <col min="9214" max="9214" width="10.5546875" style="55" customWidth="1"/>
    <col min="9215" max="9215" width="10" style="55" bestFit="1" customWidth="1"/>
    <col min="9216" max="9216" width="9.109375" style="55" customWidth="1"/>
    <col min="9217" max="9217" width="7" style="55" customWidth="1"/>
    <col min="9218" max="9218" width="10.5546875" style="55" bestFit="1" customWidth="1"/>
    <col min="9219" max="9219" width="11.88671875" style="55" bestFit="1" customWidth="1"/>
    <col min="9220" max="9221" width="11" style="55" bestFit="1" customWidth="1"/>
    <col min="9222" max="9222" width="10.88671875" style="55" bestFit="1" customWidth="1"/>
    <col min="9223" max="9223" width="9.109375" style="55" bestFit="1" customWidth="1"/>
    <col min="9224" max="9225" width="11.5546875" style="55" customWidth="1"/>
    <col min="9226" max="9226" width="14.44140625" style="55" customWidth="1"/>
    <col min="9227" max="9227" width="8.5546875" style="55" customWidth="1"/>
    <col min="9228" max="9229" width="11.44140625" style="55" customWidth="1"/>
    <col min="9230" max="9468" width="11.44140625" style="55"/>
    <col min="9469" max="9469" width="43.109375" style="55" customWidth="1"/>
    <col min="9470" max="9470" width="10.5546875" style="55" customWidth="1"/>
    <col min="9471" max="9471" width="10" style="55" bestFit="1" customWidth="1"/>
    <col min="9472" max="9472" width="9.109375" style="55" customWidth="1"/>
    <col min="9473" max="9473" width="7" style="55" customWidth="1"/>
    <col min="9474" max="9474" width="10.5546875" style="55" bestFit="1" customWidth="1"/>
    <col min="9475" max="9475" width="11.88671875" style="55" bestFit="1" customWidth="1"/>
    <col min="9476" max="9477" width="11" style="55" bestFit="1" customWidth="1"/>
    <col min="9478" max="9478" width="10.88671875" style="55" bestFit="1" customWidth="1"/>
    <col min="9479" max="9479" width="9.109375" style="55" bestFit="1" customWidth="1"/>
    <col min="9480" max="9481" width="11.5546875" style="55" customWidth="1"/>
    <col min="9482" max="9482" width="14.44140625" style="55" customWidth="1"/>
    <col min="9483" max="9483" width="8.5546875" style="55" customWidth="1"/>
    <col min="9484" max="9485" width="11.44140625" style="55" customWidth="1"/>
    <col min="9486" max="9724" width="11.44140625" style="55"/>
    <col min="9725" max="9725" width="43.109375" style="55" customWidth="1"/>
    <col min="9726" max="9726" width="10.5546875" style="55" customWidth="1"/>
    <col min="9727" max="9727" width="10" style="55" bestFit="1" customWidth="1"/>
    <col min="9728" max="9728" width="9.109375" style="55" customWidth="1"/>
    <col min="9729" max="9729" width="7" style="55" customWidth="1"/>
    <col min="9730" max="9730" width="10.5546875" style="55" bestFit="1" customWidth="1"/>
    <col min="9731" max="9731" width="11.88671875" style="55" bestFit="1" customWidth="1"/>
    <col min="9732" max="9733" width="11" style="55" bestFit="1" customWidth="1"/>
    <col min="9734" max="9734" width="10.88671875" style="55" bestFit="1" customWidth="1"/>
    <col min="9735" max="9735" width="9.109375" style="55" bestFit="1" customWidth="1"/>
    <col min="9736" max="9737" width="11.5546875" style="55" customWidth="1"/>
    <col min="9738" max="9738" width="14.44140625" style="55" customWidth="1"/>
    <col min="9739" max="9739" width="8.5546875" style="55" customWidth="1"/>
    <col min="9740" max="9741" width="11.44140625" style="55" customWidth="1"/>
    <col min="9742" max="9980" width="11.44140625" style="55"/>
    <col min="9981" max="9981" width="43.109375" style="55" customWidth="1"/>
    <col min="9982" max="9982" width="10.5546875" style="55" customWidth="1"/>
    <col min="9983" max="9983" width="10" style="55" bestFit="1" customWidth="1"/>
    <col min="9984" max="9984" width="9.109375" style="55" customWidth="1"/>
    <col min="9985" max="9985" width="7" style="55" customWidth="1"/>
    <col min="9986" max="9986" width="10.5546875" style="55" bestFit="1" customWidth="1"/>
    <col min="9987" max="9987" width="11.88671875" style="55" bestFit="1" customWidth="1"/>
    <col min="9988" max="9989" width="11" style="55" bestFit="1" customWidth="1"/>
    <col min="9990" max="9990" width="10.88671875" style="55" bestFit="1" customWidth="1"/>
    <col min="9991" max="9991" width="9.109375" style="55" bestFit="1" customWidth="1"/>
    <col min="9992" max="9993" width="11.5546875" style="55" customWidth="1"/>
    <col min="9994" max="9994" width="14.44140625" style="55" customWidth="1"/>
    <col min="9995" max="9995" width="8.5546875" style="55" customWidth="1"/>
    <col min="9996" max="9997" width="11.44140625" style="55" customWidth="1"/>
    <col min="9998" max="10236" width="11.44140625" style="55"/>
    <col min="10237" max="10237" width="43.109375" style="55" customWidth="1"/>
    <col min="10238" max="10238" width="10.5546875" style="55" customWidth="1"/>
    <col min="10239" max="10239" width="10" style="55" bestFit="1" customWidth="1"/>
    <col min="10240" max="10240" width="9.109375" style="55" customWidth="1"/>
    <col min="10241" max="10241" width="7" style="55" customWidth="1"/>
    <col min="10242" max="10242" width="10.5546875" style="55" bestFit="1" customWidth="1"/>
    <col min="10243" max="10243" width="11.88671875" style="55" bestFit="1" customWidth="1"/>
    <col min="10244" max="10245" width="11" style="55" bestFit="1" customWidth="1"/>
    <col min="10246" max="10246" width="10.88671875" style="55" bestFit="1" customWidth="1"/>
    <col min="10247" max="10247" width="9.109375" style="55" bestFit="1" customWidth="1"/>
    <col min="10248" max="10249" width="11.5546875" style="55" customWidth="1"/>
    <col min="10250" max="10250" width="14.44140625" style="55" customWidth="1"/>
    <col min="10251" max="10251" width="8.5546875" style="55" customWidth="1"/>
    <col min="10252" max="10253" width="11.44140625" style="55" customWidth="1"/>
    <col min="10254" max="10492" width="11.44140625" style="55"/>
    <col min="10493" max="10493" width="43.109375" style="55" customWidth="1"/>
    <col min="10494" max="10494" width="10.5546875" style="55" customWidth="1"/>
    <col min="10495" max="10495" width="10" style="55" bestFit="1" customWidth="1"/>
    <col min="10496" max="10496" width="9.109375" style="55" customWidth="1"/>
    <col min="10497" max="10497" width="7" style="55" customWidth="1"/>
    <col min="10498" max="10498" width="10.5546875" style="55" bestFit="1" customWidth="1"/>
    <col min="10499" max="10499" width="11.88671875" style="55" bestFit="1" customWidth="1"/>
    <col min="10500" max="10501" width="11" style="55" bestFit="1" customWidth="1"/>
    <col min="10502" max="10502" width="10.88671875" style="55" bestFit="1" customWidth="1"/>
    <col min="10503" max="10503" width="9.109375" style="55" bestFit="1" customWidth="1"/>
    <col min="10504" max="10505" width="11.5546875" style="55" customWidth="1"/>
    <col min="10506" max="10506" width="14.44140625" style="55" customWidth="1"/>
    <col min="10507" max="10507" width="8.5546875" style="55" customWidth="1"/>
    <col min="10508" max="10509" width="11.44140625" style="55" customWidth="1"/>
    <col min="10510" max="10748" width="11.44140625" style="55"/>
    <col min="10749" max="10749" width="43.109375" style="55" customWidth="1"/>
    <col min="10750" max="10750" width="10.5546875" style="55" customWidth="1"/>
    <col min="10751" max="10751" width="10" style="55" bestFit="1" customWidth="1"/>
    <col min="10752" max="10752" width="9.109375" style="55" customWidth="1"/>
    <col min="10753" max="10753" width="7" style="55" customWidth="1"/>
    <col min="10754" max="10754" width="10.5546875" style="55" bestFit="1" customWidth="1"/>
    <col min="10755" max="10755" width="11.88671875" style="55" bestFit="1" customWidth="1"/>
    <col min="10756" max="10757" width="11" style="55" bestFit="1" customWidth="1"/>
    <col min="10758" max="10758" width="10.88671875" style="55" bestFit="1" customWidth="1"/>
    <col min="10759" max="10759" width="9.109375" style="55" bestFit="1" customWidth="1"/>
    <col min="10760" max="10761" width="11.5546875" style="55" customWidth="1"/>
    <col min="10762" max="10762" width="14.44140625" style="55" customWidth="1"/>
    <col min="10763" max="10763" width="8.5546875" style="55" customWidth="1"/>
    <col min="10764" max="10765" width="11.44140625" style="55" customWidth="1"/>
    <col min="10766" max="11004" width="11.44140625" style="55"/>
    <col min="11005" max="11005" width="43.109375" style="55" customWidth="1"/>
    <col min="11006" max="11006" width="10.5546875" style="55" customWidth="1"/>
    <col min="11007" max="11007" width="10" style="55" bestFit="1" customWidth="1"/>
    <col min="11008" max="11008" width="9.109375" style="55" customWidth="1"/>
    <col min="11009" max="11009" width="7" style="55" customWidth="1"/>
    <col min="11010" max="11010" width="10.5546875" style="55" bestFit="1" customWidth="1"/>
    <col min="11011" max="11011" width="11.88671875" style="55" bestFit="1" customWidth="1"/>
    <col min="11012" max="11013" width="11" style="55" bestFit="1" customWidth="1"/>
    <col min="11014" max="11014" width="10.88671875" style="55" bestFit="1" customWidth="1"/>
    <col min="11015" max="11015" width="9.109375" style="55" bestFit="1" customWidth="1"/>
    <col min="11016" max="11017" width="11.5546875" style="55" customWidth="1"/>
    <col min="11018" max="11018" width="14.44140625" style="55" customWidth="1"/>
    <col min="11019" max="11019" width="8.5546875" style="55" customWidth="1"/>
    <col min="11020" max="11021" width="11.44140625" style="55" customWidth="1"/>
    <col min="11022" max="11260" width="11.44140625" style="55"/>
    <col min="11261" max="11261" width="43.109375" style="55" customWidth="1"/>
    <col min="11262" max="11262" width="10.5546875" style="55" customWidth="1"/>
    <col min="11263" max="11263" width="10" style="55" bestFit="1" customWidth="1"/>
    <col min="11264" max="11264" width="9.109375" style="55" customWidth="1"/>
    <col min="11265" max="11265" width="7" style="55" customWidth="1"/>
    <col min="11266" max="11266" width="10.5546875" style="55" bestFit="1" customWidth="1"/>
    <col min="11267" max="11267" width="11.88671875" style="55" bestFit="1" customWidth="1"/>
    <col min="11268" max="11269" width="11" style="55" bestFit="1" customWidth="1"/>
    <col min="11270" max="11270" width="10.88671875" style="55" bestFit="1" customWidth="1"/>
    <col min="11271" max="11271" width="9.109375" style="55" bestFit="1" customWidth="1"/>
    <col min="11272" max="11273" width="11.5546875" style="55" customWidth="1"/>
    <col min="11274" max="11274" width="14.44140625" style="55" customWidth="1"/>
    <col min="11275" max="11275" width="8.5546875" style="55" customWidth="1"/>
    <col min="11276" max="11277" width="11.44140625" style="55" customWidth="1"/>
    <col min="11278" max="11516" width="11.44140625" style="55"/>
    <col min="11517" max="11517" width="43.109375" style="55" customWidth="1"/>
    <col min="11518" max="11518" width="10.5546875" style="55" customWidth="1"/>
    <col min="11519" max="11519" width="10" style="55" bestFit="1" customWidth="1"/>
    <col min="11520" max="11520" width="9.109375" style="55" customWidth="1"/>
    <col min="11521" max="11521" width="7" style="55" customWidth="1"/>
    <col min="11522" max="11522" width="10.5546875" style="55" bestFit="1" customWidth="1"/>
    <col min="11523" max="11523" width="11.88671875" style="55" bestFit="1" customWidth="1"/>
    <col min="11524" max="11525" width="11" style="55" bestFit="1" customWidth="1"/>
    <col min="11526" max="11526" width="10.88671875" style="55" bestFit="1" customWidth="1"/>
    <col min="11527" max="11527" width="9.109375" style="55" bestFit="1" customWidth="1"/>
    <col min="11528" max="11529" width="11.5546875" style="55" customWidth="1"/>
    <col min="11530" max="11530" width="14.44140625" style="55" customWidth="1"/>
    <col min="11531" max="11531" width="8.5546875" style="55" customWidth="1"/>
    <col min="11532" max="11533" width="11.44140625" style="55" customWidth="1"/>
    <col min="11534" max="11772" width="11.44140625" style="55"/>
    <col min="11773" max="11773" width="43.109375" style="55" customWidth="1"/>
    <col min="11774" max="11774" width="10.5546875" style="55" customWidth="1"/>
    <col min="11775" max="11775" width="10" style="55" bestFit="1" customWidth="1"/>
    <col min="11776" max="11776" width="9.109375" style="55" customWidth="1"/>
    <col min="11777" max="11777" width="7" style="55" customWidth="1"/>
    <col min="11778" max="11778" width="10.5546875" style="55" bestFit="1" customWidth="1"/>
    <col min="11779" max="11779" width="11.88671875" style="55" bestFit="1" customWidth="1"/>
    <col min="11780" max="11781" width="11" style="55" bestFit="1" customWidth="1"/>
    <col min="11782" max="11782" width="10.88671875" style="55" bestFit="1" customWidth="1"/>
    <col min="11783" max="11783" width="9.109375" style="55" bestFit="1" customWidth="1"/>
    <col min="11784" max="11785" width="11.5546875" style="55" customWidth="1"/>
    <col min="11786" max="11786" width="14.44140625" style="55" customWidth="1"/>
    <col min="11787" max="11787" width="8.5546875" style="55" customWidth="1"/>
    <col min="11788" max="11789" width="11.44140625" style="55" customWidth="1"/>
    <col min="11790" max="12028" width="11.44140625" style="55"/>
    <col min="12029" max="12029" width="43.109375" style="55" customWidth="1"/>
    <col min="12030" max="12030" width="10.5546875" style="55" customWidth="1"/>
    <col min="12031" max="12031" width="10" style="55" bestFit="1" customWidth="1"/>
    <col min="12032" max="12032" width="9.109375" style="55" customWidth="1"/>
    <col min="12033" max="12033" width="7" style="55" customWidth="1"/>
    <col min="12034" max="12034" width="10.5546875" style="55" bestFit="1" customWidth="1"/>
    <col min="12035" max="12035" width="11.88671875" style="55" bestFit="1" customWidth="1"/>
    <col min="12036" max="12037" width="11" style="55" bestFit="1" customWidth="1"/>
    <col min="12038" max="12038" width="10.88671875" style="55" bestFit="1" customWidth="1"/>
    <col min="12039" max="12039" width="9.109375" style="55" bestFit="1" customWidth="1"/>
    <col min="12040" max="12041" width="11.5546875" style="55" customWidth="1"/>
    <col min="12042" max="12042" width="14.44140625" style="55" customWidth="1"/>
    <col min="12043" max="12043" width="8.5546875" style="55" customWidth="1"/>
    <col min="12044" max="12045" width="11.44140625" style="55" customWidth="1"/>
    <col min="12046" max="12284" width="11.44140625" style="55"/>
    <col min="12285" max="12285" width="43.109375" style="55" customWidth="1"/>
    <col min="12286" max="12286" width="10.5546875" style="55" customWidth="1"/>
    <col min="12287" max="12287" width="10" style="55" bestFit="1" customWidth="1"/>
    <col min="12288" max="12288" width="9.109375" style="55" customWidth="1"/>
    <col min="12289" max="12289" width="7" style="55" customWidth="1"/>
    <col min="12290" max="12290" width="10.5546875" style="55" bestFit="1" customWidth="1"/>
    <col min="12291" max="12291" width="11.88671875" style="55" bestFit="1" customWidth="1"/>
    <col min="12292" max="12293" width="11" style="55" bestFit="1" customWidth="1"/>
    <col min="12294" max="12294" width="10.88671875" style="55" bestFit="1" customWidth="1"/>
    <col min="12295" max="12295" width="9.109375" style="55" bestFit="1" customWidth="1"/>
    <col min="12296" max="12297" width="11.5546875" style="55" customWidth="1"/>
    <col min="12298" max="12298" width="14.44140625" style="55" customWidth="1"/>
    <col min="12299" max="12299" width="8.5546875" style="55" customWidth="1"/>
    <col min="12300" max="12301" width="11.44140625" style="55" customWidth="1"/>
    <col min="12302" max="12540" width="11.44140625" style="55"/>
    <col min="12541" max="12541" width="43.109375" style="55" customWidth="1"/>
    <col min="12542" max="12542" width="10.5546875" style="55" customWidth="1"/>
    <col min="12543" max="12543" width="10" style="55" bestFit="1" customWidth="1"/>
    <col min="12544" max="12544" width="9.109375" style="55" customWidth="1"/>
    <col min="12545" max="12545" width="7" style="55" customWidth="1"/>
    <col min="12546" max="12546" width="10.5546875" style="55" bestFit="1" customWidth="1"/>
    <col min="12547" max="12547" width="11.88671875" style="55" bestFit="1" customWidth="1"/>
    <col min="12548" max="12549" width="11" style="55" bestFit="1" customWidth="1"/>
    <col min="12550" max="12550" width="10.88671875" style="55" bestFit="1" customWidth="1"/>
    <col min="12551" max="12551" width="9.109375" style="55" bestFit="1" customWidth="1"/>
    <col min="12552" max="12553" width="11.5546875" style="55" customWidth="1"/>
    <col min="12554" max="12554" width="14.44140625" style="55" customWidth="1"/>
    <col min="12555" max="12555" width="8.5546875" style="55" customWidth="1"/>
    <col min="12556" max="12557" width="11.44140625" style="55" customWidth="1"/>
    <col min="12558" max="12796" width="11.44140625" style="55"/>
    <col min="12797" max="12797" width="43.109375" style="55" customWidth="1"/>
    <col min="12798" max="12798" width="10.5546875" style="55" customWidth="1"/>
    <col min="12799" max="12799" width="10" style="55" bestFit="1" customWidth="1"/>
    <col min="12800" max="12800" width="9.109375" style="55" customWidth="1"/>
    <col min="12801" max="12801" width="7" style="55" customWidth="1"/>
    <col min="12802" max="12802" width="10.5546875" style="55" bestFit="1" customWidth="1"/>
    <col min="12803" max="12803" width="11.88671875" style="55" bestFit="1" customWidth="1"/>
    <col min="12804" max="12805" width="11" style="55" bestFit="1" customWidth="1"/>
    <col min="12806" max="12806" width="10.88671875" style="55" bestFit="1" customWidth="1"/>
    <col min="12807" max="12807" width="9.109375" style="55" bestFit="1" customWidth="1"/>
    <col min="12808" max="12809" width="11.5546875" style="55" customWidth="1"/>
    <col min="12810" max="12810" width="14.44140625" style="55" customWidth="1"/>
    <col min="12811" max="12811" width="8.5546875" style="55" customWidth="1"/>
    <col min="12812" max="12813" width="11.44140625" style="55" customWidth="1"/>
    <col min="12814" max="13052" width="11.44140625" style="55"/>
    <col min="13053" max="13053" width="43.109375" style="55" customWidth="1"/>
    <col min="13054" max="13054" width="10.5546875" style="55" customWidth="1"/>
    <col min="13055" max="13055" width="10" style="55" bestFit="1" customWidth="1"/>
    <col min="13056" max="13056" width="9.109375" style="55" customWidth="1"/>
    <col min="13057" max="13057" width="7" style="55" customWidth="1"/>
    <col min="13058" max="13058" width="10.5546875" style="55" bestFit="1" customWidth="1"/>
    <col min="13059" max="13059" width="11.88671875" style="55" bestFit="1" customWidth="1"/>
    <col min="13060" max="13061" width="11" style="55" bestFit="1" customWidth="1"/>
    <col min="13062" max="13062" width="10.88671875" style="55" bestFit="1" customWidth="1"/>
    <col min="13063" max="13063" width="9.109375" style="55" bestFit="1" customWidth="1"/>
    <col min="13064" max="13065" width="11.5546875" style="55" customWidth="1"/>
    <col min="13066" max="13066" width="14.44140625" style="55" customWidth="1"/>
    <col min="13067" max="13067" width="8.5546875" style="55" customWidth="1"/>
    <col min="13068" max="13069" width="11.44140625" style="55" customWidth="1"/>
    <col min="13070" max="13308" width="11.44140625" style="55"/>
    <col min="13309" max="13309" width="43.109375" style="55" customWidth="1"/>
    <col min="13310" max="13310" width="10.5546875" style="55" customWidth="1"/>
    <col min="13311" max="13311" width="10" style="55" bestFit="1" customWidth="1"/>
    <col min="13312" max="13312" width="9.109375" style="55" customWidth="1"/>
    <col min="13313" max="13313" width="7" style="55" customWidth="1"/>
    <col min="13314" max="13314" width="10.5546875" style="55" bestFit="1" customWidth="1"/>
    <col min="13315" max="13315" width="11.88671875" style="55" bestFit="1" customWidth="1"/>
    <col min="13316" max="13317" width="11" style="55" bestFit="1" customWidth="1"/>
    <col min="13318" max="13318" width="10.88671875" style="55" bestFit="1" customWidth="1"/>
    <col min="13319" max="13319" width="9.109375" style="55" bestFit="1" customWidth="1"/>
    <col min="13320" max="13321" width="11.5546875" style="55" customWidth="1"/>
    <col min="13322" max="13322" width="14.44140625" style="55" customWidth="1"/>
    <col min="13323" max="13323" width="8.5546875" style="55" customWidth="1"/>
    <col min="13324" max="13325" width="11.44140625" style="55" customWidth="1"/>
    <col min="13326" max="13564" width="11.44140625" style="55"/>
    <col min="13565" max="13565" width="43.109375" style="55" customWidth="1"/>
    <col min="13566" max="13566" width="10.5546875" style="55" customWidth="1"/>
    <col min="13567" max="13567" width="10" style="55" bestFit="1" customWidth="1"/>
    <col min="13568" max="13568" width="9.109375" style="55" customWidth="1"/>
    <col min="13569" max="13569" width="7" style="55" customWidth="1"/>
    <col min="13570" max="13570" width="10.5546875" style="55" bestFit="1" customWidth="1"/>
    <col min="13571" max="13571" width="11.88671875" style="55" bestFit="1" customWidth="1"/>
    <col min="13572" max="13573" width="11" style="55" bestFit="1" customWidth="1"/>
    <col min="13574" max="13574" width="10.88671875" style="55" bestFit="1" customWidth="1"/>
    <col min="13575" max="13575" width="9.109375" style="55" bestFit="1" customWidth="1"/>
    <col min="13576" max="13577" width="11.5546875" style="55" customWidth="1"/>
    <col min="13578" max="13578" width="14.44140625" style="55" customWidth="1"/>
    <col min="13579" max="13579" width="8.5546875" style="55" customWidth="1"/>
    <col min="13580" max="13581" width="11.44140625" style="55" customWidth="1"/>
    <col min="13582" max="13820" width="11.44140625" style="55"/>
    <col min="13821" max="13821" width="43.109375" style="55" customWidth="1"/>
    <col min="13822" max="13822" width="10.5546875" style="55" customWidth="1"/>
    <col min="13823" max="13823" width="10" style="55" bestFit="1" customWidth="1"/>
    <col min="13824" max="13824" width="9.109375" style="55" customWidth="1"/>
    <col min="13825" max="13825" width="7" style="55" customWidth="1"/>
    <col min="13826" max="13826" width="10.5546875" style="55" bestFit="1" customWidth="1"/>
    <col min="13827" max="13827" width="11.88671875" style="55" bestFit="1" customWidth="1"/>
    <col min="13828" max="13829" width="11" style="55" bestFit="1" customWidth="1"/>
    <col min="13830" max="13830" width="10.88671875" style="55" bestFit="1" customWidth="1"/>
    <col min="13831" max="13831" width="9.109375" style="55" bestFit="1" customWidth="1"/>
    <col min="13832" max="13833" width="11.5546875" style="55" customWidth="1"/>
    <col min="13834" max="13834" width="14.44140625" style="55" customWidth="1"/>
    <col min="13835" max="13835" width="8.5546875" style="55" customWidth="1"/>
    <col min="13836" max="13837" width="11.44140625" style="55" customWidth="1"/>
    <col min="13838" max="14076" width="11.44140625" style="55"/>
    <col min="14077" max="14077" width="43.109375" style="55" customWidth="1"/>
    <col min="14078" max="14078" width="10.5546875" style="55" customWidth="1"/>
    <col min="14079" max="14079" width="10" style="55" bestFit="1" customWidth="1"/>
    <col min="14080" max="14080" width="9.109375" style="55" customWidth="1"/>
    <col min="14081" max="14081" width="7" style="55" customWidth="1"/>
    <col min="14082" max="14082" width="10.5546875" style="55" bestFit="1" customWidth="1"/>
    <col min="14083" max="14083" width="11.88671875" style="55" bestFit="1" customWidth="1"/>
    <col min="14084" max="14085" width="11" style="55" bestFit="1" customWidth="1"/>
    <col min="14086" max="14086" width="10.88671875" style="55" bestFit="1" customWidth="1"/>
    <col min="14087" max="14087" width="9.109375" style="55" bestFit="1" customWidth="1"/>
    <col min="14088" max="14089" width="11.5546875" style="55" customWidth="1"/>
    <col min="14090" max="14090" width="14.44140625" style="55" customWidth="1"/>
    <col min="14091" max="14091" width="8.5546875" style="55" customWidth="1"/>
    <col min="14092" max="14093" width="11.44140625" style="55" customWidth="1"/>
    <col min="14094" max="14332" width="11.44140625" style="55"/>
    <col min="14333" max="14333" width="43.109375" style="55" customWidth="1"/>
    <col min="14334" max="14334" width="10.5546875" style="55" customWidth="1"/>
    <col min="14335" max="14335" width="10" style="55" bestFit="1" customWidth="1"/>
    <col min="14336" max="14336" width="9.109375" style="55" customWidth="1"/>
    <col min="14337" max="14337" width="7" style="55" customWidth="1"/>
    <col min="14338" max="14338" width="10.5546875" style="55" bestFit="1" customWidth="1"/>
    <col min="14339" max="14339" width="11.88671875" style="55" bestFit="1" customWidth="1"/>
    <col min="14340" max="14341" width="11" style="55" bestFit="1" customWidth="1"/>
    <col min="14342" max="14342" width="10.88671875" style="55" bestFit="1" customWidth="1"/>
    <col min="14343" max="14343" width="9.109375" style="55" bestFit="1" customWidth="1"/>
    <col min="14344" max="14345" width="11.5546875" style="55" customWidth="1"/>
    <col min="14346" max="14346" width="14.44140625" style="55" customWidth="1"/>
    <col min="14347" max="14347" width="8.5546875" style="55" customWidth="1"/>
    <col min="14348" max="14349" width="11.44140625" style="55" customWidth="1"/>
    <col min="14350" max="14588" width="11.44140625" style="55"/>
    <col min="14589" max="14589" width="43.109375" style="55" customWidth="1"/>
    <col min="14590" max="14590" width="10.5546875" style="55" customWidth="1"/>
    <col min="14591" max="14591" width="10" style="55" bestFit="1" customWidth="1"/>
    <col min="14592" max="14592" width="9.109375" style="55" customWidth="1"/>
    <col min="14593" max="14593" width="7" style="55" customWidth="1"/>
    <col min="14594" max="14594" width="10.5546875" style="55" bestFit="1" customWidth="1"/>
    <col min="14595" max="14595" width="11.88671875" style="55" bestFit="1" customWidth="1"/>
    <col min="14596" max="14597" width="11" style="55" bestFit="1" customWidth="1"/>
    <col min="14598" max="14598" width="10.88671875" style="55" bestFit="1" customWidth="1"/>
    <col min="14599" max="14599" width="9.109375" style="55" bestFit="1" customWidth="1"/>
    <col min="14600" max="14601" width="11.5546875" style="55" customWidth="1"/>
    <col min="14602" max="14602" width="14.44140625" style="55" customWidth="1"/>
    <col min="14603" max="14603" width="8.5546875" style="55" customWidth="1"/>
    <col min="14604" max="14605" width="11.44140625" style="55" customWidth="1"/>
    <col min="14606" max="14844" width="11.44140625" style="55"/>
    <col min="14845" max="14845" width="43.109375" style="55" customWidth="1"/>
    <col min="14846" max="14846" width="10.5546875" style="55" customWidth="1"/>
    <col min="14847" max="14847" width="10" style="55" bestFit="1" customWidth="1"/>
    <col min="14848" max="14848" width="9.109375" style="55" customWidth="1"/>
    <col min="14849" max="14849" width="7" style="55" customWidth="1"/>
    <col min="14850" max="14850" width="10.5546875" style="55" bestFit="1" customWidth="1"/>
    <col min="14851" max="14851" width="11.88671875" style="55" bestFit="1" customWidth="1"/>
    <col min="14852" max="14853" width="11" style="55" bestFit="1" customWidth="1"/>
    <col min="14854" max="14854" width="10.88671875" style="55" bestFit="1" customWidth="1"/>
    <col min="14855" max="14855" width="9.109375" style="55" bestFit="1" customWidth="1"/>
    <col min="14856" max="14857" width="11.5546875" style="55" customWidth="1"/>
    <col min="14858" max="14858" width="14.44140625" style="55" customWidth="1"/>
    <col min="14859" max="14859" width="8.5546875" style="55" customWidth="1"/>
    <col min="14860" max="14861" width="11.44140625" style="55" customWidth="1"/>
    <col min="14862" max="15100" width="11.44140625" style="55"/>
    <col min="15101" max="15101" width="43.109375" style="55" customWidth="1"/>
    <col min="15102" max="15102" width="10.5546875" style="55" customWidth="1"/>
    <col min="15103" max="15103" width="10" style="55" bestFit="1" customWidth="1"/>
    <col min="15104" max="15104" width="9.109375" style="55" customWidth="1"/>
    <col min="15105" max="15105" width="7" style="55" customWidth="1"/>
    <col min="15106" max="15106" width="10.5546875" style="55" bestFit="1" customWidth="1"/>
    <col min="15107" max="15107" width="11.88671875" style="55" bestFit="1" customWidth="1"/>
    <col min="15108" max="15109" width="11" style="55" bestFit="1" customWidth="1"/>
    <col min="15110" max="15110" width="10.88671875" style="55" bestFit="1" customWidth="1"/>
    <col min="15111" max="15111" width="9.109375" style="55" bestFit="1" customWidth="1"/>
    <col min="15112" max="15113" width="11.5546875" style="55" customWidth="1"/>
    <col min="15114" max="15114" width="14.44140625" style="55" customWidth="1"/>
    <col min="15115" max="15115" width="8.5546875" style="55" customWidth="1"/>
    <col min="15116" max="15117" width="11.44140625" style="55" customWidth="1"/>
    <col min="15118" max="15356" width="11.44140625" style="55"/>
    <col min="15357" max="15357" width="43.109375" style="55" customWidth="1"/>
    <col min="15358" max="15358" width="10.5546875" style="55" customWidth="1"/>
    <col min="15359" max="15359" width="10" style="55" bestFit="1" customWidth="1"/>
    <col min="15360" max="15360" width="9.109375" style="55" customWidth="1"/>
    <col min="15361" max="15361" width="7" style="55" customWidth="1"/>
    <col min="15362" max="15362" width="10.5546875" style="55" bestFit="1" customWidth="1"/>
    <col min="15363" max="15363" width="11.88671875" style="55" bestFit="1" customWidth="1"/>
    <col min="15364" max="15365" width="11" style="55" bestFit="1" customWidth="1"/>
    <col min="15366" max="15366" width="10.88671875" style="55" bestFit="1" customWidth="1"/>
    <col min="15367" max="15367" width="9.109375" style="55" bestFit="1" customWidth="1"/>
    <col min="15368" max="15369" width="11.5546875" style="55" customWidth="1"/>
    <col min="15370" max="15370" width="14.44140625" style="55" customWidth="1"/>
    <col min="15371" max="15371" width="8.5546875" style="55" customWidth="1"/>
    <col min="15372" max="15373" width="11.44140625" style="55" customWidth="1"/>
    <col min="15374" max="15612" width="11.44140625" style="55"/>
    <col min="15613" max="15613" width="43.109375" style="55" customWidth="1"/>
    <col min="15614" max="15614" width="10.5546875" style="55" customWidth="1"/>
    <col min="15615" max="15615" width="10" style="55" bestFit="1" customWidth="1"/>
    <col min="15616" max="15616" width="9.109375" style="55" customWidth="1"/>
    <col min="15617" max="15617" width="7" style="55" customWidth="1"/>
    <col min="15618" max="15618" width="10.5546875" style="55" bestFit="1" customWidth="1"/>
    <col min="15619" max="15619" width="11.88671875" style="55" bestFit="1" customWidth="1"/>
    <col min="15620" max="15621" width="11" style="55" bestFit="1" customWidth="1"/>
    <col min="15622" max="15622" width="10.88671875" style="55" bestFit="1" customWidth="1"/>
    <col min="15623" max="15623" width="9.109375" style="55" bestFit="1" customWidth="1"/>
    <col min="15624" max="15625" width="11.5546875" style="55" customWidth="1"/>
    <col min="15626" max="15626" width="14.44140625" style="55" customWidth="1"/>
    <col min="15627" max="15627" width="8.5546875" style="55" customWidth="1"/>
    <col min="15628" max="15629" width="11.44140625" style="55" customWidth="1"/>
    <col min="15630" max="15868" width="11.44140625" style="55"/>
    <col min="15869" max="15869" width="43.109375" style="55" customWidth="1"/>
    <col min="15870" max="15870" width="10.5546875" style="55" customWidth="1"/>
    <col min="15871" max="15871" width="10" style="55" bestFit="1" customWidth="1"/>
    <col min="15872" max="15872" width="9.109375" style="55" customWidth="1"/>
    <col min="15873" max="15873" width="7" style="55" customWidth="1"/>
    <col min="15874" max="15874" width="10.5546875" style="55" bestFit="1" customWidth="1"/>
    <col min="15875" max="15875" width="11.88671875" style="55" bestFit="1" customWidth="1"/>
    <col min="15876" max="15877" width="11" style="55" bestFit="1" customWidth="1"/>
    <col min="15878" max="15878" width="10.88671875" style="55" bestFit="1" customWidth="1"/>
    <col min="15879" max="15879" width="9.109375" style="55" bestFit="1" customWidth="1"/>
    <col min="15880" max="15881" width="11.5546875" style="55" customWidth="1"/>
    <col min="15882" max="15882" width="14.44140625" style="55" customWidth="1"/>
    <col min="15883" max="15883" width="8.5546875" style="55" customWidth="1"/>
    <col min="15884" max="15885" width="11.44140625" style="55" customWidth="1"/>
    <col min="15886" max="16124" width="11.44140625" style="55"/>
    <col min="16125" max="16125" width="43.109375" style="55" customWidth="1"/>
    <col min="16126" max="16126" width="10.5546875" style="55" customWidth="1"/>
    <col min="16127" max="16127" width="10" style="55" bestFit="1" customWidth="1"/>
    <col min="16128" max="16128" width="9.109375" style="55" customWidth="1"/>
    <col min="16129" max="16129" width="7" style="55" customWidth="1"/>
    <col min="16130" max="16130" width="10.5546875" style="55" bestFit="1" customWidth="1"/>
    <col min="16131" max="16131" width="11.88671875" style="55" bestFit="1" customWidth="1"/>
    <col min="16132" max="16133" width="11" style="55" bestFit="1" customWidth="1"/>
    <col min="16134" max="16134" width="10.88671875" style="55" bestFit="1" customWidth="1"/>
    <col min="16135" max="16135" width="9.109375" style="55" bestFit="1" customWidth="1"/>
    <col min="16136" max="16137" width="11.5546875" style="55" customWidth="1"/>
    <col min="16138" max="16138" width="14.44140625" style="55" customWidth="1"/>
    <col min="16139" max="16139" width="8.5546875" style="55" customWidth="1"/>
    <col min="16140" max="16141" width="11.44140625" style="55" customWidth="1"/>
    <col min="16142" max="16384" width="11.44140625" style="55"/>
  </cols>
  <sheetData>
    <row r="1" spans="1:21" s="52" customFormat="1" ht="13.8" x14ac:dyDescent="0.25">
      <c r="A1" s="18" t="str">
        <f>Tabelloversikt!A6</f>
        <v>Tabell 2 Inntekter i 2023 etter finansieringstype. Mill. kr</v>
      </c>
      <c r="B1" s="51"/>
      <c r="C1" s="17"/>
      <c r="D1" s="17"/>
      <c r="E1" s="17"/>
      <c r="F1" s="17"/>
      <c r="G1" s="17"/>
      <c r="L1" s="53"/>
      <c r="M1" s="53"/>
      <c r="N1" s="12"/>
      <c r="O1" s="12"/>
      <c r="P1" s="12"/>
    </row>
    <row r="2" spans="1:21" ht="13.2" x14ac:dyDescent="0.25">
      <c r="B2" s="56"/>
      <c r="C2" s="57"/>
      <c r="D2" s="57"/>
      <c r="E2" s="57"/>
      <c r="F2" s="57"/>
      <c r="G2" s="57"/>
    </row>
    <row r="3" spans="1:21" s="429" customFormat="1" ht="34.35" customHeight="1" x14ac:dyDescent="0.25">
      <c r="A3" s="424"/>
      <c r="B3" s="425" t="s">
        <v>246</v>
      </c>
      <c r="C3" s="426"/>
      <c r="D3" s="467" t="s">
        <v>178</v>
      </c>
      <c r="E3" s="467"/>
      <c r="F3" s="467"/>
      <c r="G3" s="467"/>
      <c r="H3" s="467"/>
      <c r="I3" s="426"/>
      <c r="J3" s="425"/>
      <c r="K3" s="467" t="s">
        <v>136</v>
      </c>
      <c r="L3" s="467"/>
      <c r="M3" s="467"/>
      <c r="N3" s="467"/>
      <c r="O3" s="427"/>
      <c r="P3" s="428"/>
      <c r="Q3" s="428"/>
      <c r="R3" s="428"/>
      <c r="S3" s="426"/>
    </row>
    <row r="4" spans="1:21" s="432" customFormat="1" ht="31.8" x14ac:dyDescent="0.2">
      <c r="A4" s="430"/>
      <c r="B4" s="163" t="s">
        <v>218</v>
      </c>
      <c r="C4" s="431"/>
      <c r="D4" s="163" t="s">
        <v>7</v>
      </c>
      <c r="E4" s="163" t="s">
        <v>112</v>
      </c>
      <c r="F4" s="163" t="s">
        <v>21</v>
      </c>
      <c r="G4" s="163" t="s">
        <v>10</v>
      </c>
      <c r="H4" s="163" t="s">
        <v>30</v>
      </c>
      <c r="I4" s="163"/>
      <c r="J4" s="163" t="s">
        <v>7</v>
      </c>
      <c r="K4" s="163" t="s">
        <v>112</v>
      </c>
      <c r="L4" s="163" t="s">
        <v>21</v>
      </c>
      <c r="M4" s="163" t="s">
        <v>10</v>
      </c>
      <c r="N4" s="163" t="s">
        <v>30</v>
      </c>
      <c r="O4" s="163" t="s">
        <v>9</v>
      </c>
      <c r="P4" s="163" t="s">
        <v>187</v>
      </c>
      <c r="Q4" s="163" t="s">
        <v>188</v>
      </c>
      <c r="R4" s="163" t="s">
        <v>238</v>
      </c>
      <c r="S4" s="163" t="s">
        <v>189</v>
      </c>
    </row>
    <row r="5" spans="1:21" ht="11.25" customHeight="1" x14ac:dyDescent="0.2">
      <c r="A5" s="136"/>
      <c r="B5" s="137" t="s">
        <v>2</v>
      </c>
      <c r="C5" s="137"/>
      <c r="D5" s="137" t="s">
        <v>2</v>
      </c>
      <c r="E5" s="137" t="s">
        <v>2</v>
      </c>
      <c r="F5" s="137" t="s">
        <v>2</v>
      </c>
      <c r="G5" s="137" t="s">
        <v>2</v>
      </c>
      <c r="H5" s="137" t="s">
        <v>2</v>
      </c>
      <c r="I5" s="137"/>
      <c r="J5" s="137" t="s">
        <v>2</v>
      </c>
      <c r="K5" s="137" t="s">
        <v>2</v>
      </c>
      <c r="L5" s="137" t="s">
        <v>2</v>
      </c>
      <c r="M5" s="137" t="s">
        <v>2</v>
      </c>
      <c r="N5" s="137" t="s">
        <v>2</v>
      </c>
      <c r="O5" s="137" t="s">
        <v>2</v>
      </c>
      <c r="P5" s="137" t="s">
        <v>2</v>
      </c>
      <c r="Q5" s="137" t="s">
        <v>2</v>
      </c>
      <c r="R5" s="137" t="s">
        <v>2</v>
      </c>
      <c r="S5" s="137" t="s">
        <v>2</v>
      </c>
    </row>
    <row r="6" spans="1:21" ht="11.25" customHeight="1" x14ac:dyDescent="0.2">
      <c r="A6" s="71" t="s">
        <v>5</v>
      </c>
      <c r="B6" s="72">
        <v>298596</v>
      </c>
      <c r="C6" s="72"/>
      <c r="D6" s="72">
        <v>593628</v>
      </c>
      <c r="E6" s="72">
        <v>203828</v>
      </c>
      <c r="F6" s="72">
        <v>15917</v>
      </c>
      <c r="G6" s="72">
        <v>29072</v>
      </c>
      <c r="H6" s="72">
        <v>842445</v>
      </c>
      <c r="I6" s="72"/>
      <c r="J6" s="72">
        <v>10536</v>
      </c>
      <c r="K6" s="72">
        <v>242865</v>
      </c>
      <c r="L6" s="72">
        <v>89953</v>
      </c>
      <c r="M6" s="72">
        <v>14838</v>
      </c>
      <c r="N6" s="72">
        <v>358192</v>
      </c>
      <c r="O6" s="72">
        <v>168940</v>
      </c>
      <c r="P6" s="72">
        <v>116196</v>
      </c>
      <c r="Q6" s="72">
        <v>13257</v>
      </c>
      <c r="R6" s="72">
        <v>91709</v>
      </c>
      <c r="S6" s="433">
        <v>1889335</v>
      </c>
      <c r="T6" s="434"/>
      <c r="U6" s="85"/>
    </row>
    <row r="7" spans="1:21" ht="11.25" customHeight="1" x14ac:dyDescent="0.2">
      <c r="A7" s="71" t="s">
        <v>108</v>
      </c>
      <c r="B7" s="72">
        <v>305326</v>
      </c>
      <c r="C7" s="72"/>
      <c r="D7" s="72">
        <v>587928</v>
      </c>
      <c r="E7" s="72">
        <v>271418</v>
      </c>
      <c r="F7" s="72">
        <v>52859</v>
      </c>
      <c r="G7" s="72">
        <v>7274</v>
      </c>
      <c r="H7" s="72">
        <v>919479</v>
      </c>
      <c r="I7" s="72"/>
      <c r="J7" s="72">
        <v>2146</v>
      </c>
      <c r="K7" s="72">
        <v>548147</v>
      </c>
      <c r="L7" s="72">
        <v>307670</v>
      </c>
      <c r="M7" s="72">
        <v>53957</v>
      </c>
      <c r="N7" s="72">
        <v>911920</v>
      </c>
      <c r="O7" s="72">
        <v>330297</v>
      </c>
      <c r="P7" s="72">
        <v>53436</v>
      </c>
      <c r="Q7" s="72">
        <v>16425</v>
      </c>
      <c r="R7" s="72">
        <v>98094</v>
      </c>
      <c r="S7" s="433">
        <v>2634977</v>
      </c>
      <c r="U7" s="85"/>
    </row>
    <row r="8" spans="1:21" ht="11.25" customHeight="1" x14ac:dyDescent="0.2">
      <c r="A8" s="71" t="s">
        <v>4</v>
      </c>
      <c r="B8" s="72">
        <v>340138</v>
      </c>
      <c r="C8" s="72"/>
      <c r="D8" s="72">
        <v>397608</v>
      </c>
      <c r="E8" s="72">
        <v>459113</v>
      </c>
      <c r="F8" s="72">
        <v>106563</v>
      </c>
      <c r="G8" s="72">
        <v>52813</v>
      </c>
      <c r="H8" s="72">
        <v>1016097</v>
      </c>
      <c r="I8" s="72"/>
      <c r="J8" s="72">
        <v>1869</v>
      </c>
      <c r="K8" s="72">
        <v>226029</v>
      </c>
      <c r="L8" s="72">
        <v>221483</v>
      </c>
      <c r="M8" s="72">
        <v>21567</v>
      </c>
      <c r="N8" s="72">
        <v>470948</v>
      </c>
      <c r="O8" s="72">
        <v>144927</v>
      </c>
      <c r="P8" s="72">
        <v>573610</v>
      </c>
      <c r="Q8" s="72">
        <v>48231</v>
      </c>
      <c r="R8" s="72">
        <v>40074</v>
      </c>
      <c r="S8" s="433">
        <v>2634025</v>
      </c>
      <c r="U8" s="85"/>
    </row>
    <row r="9" spans="1:21" ht="11.25" customHeight="1" x14ac:dyDescent="0.2">
      <c r="A9" s="71" t="s">
        <v>6</v>
      </c>
      <c r="B9" s="72">
        <v>744261</v>
      </c>
      <c r="C9" s="72"/>
      <c r="D9" s="72">
        <v>1207332</v>
      </c>
      <c r="E9" s="72">
        <v>249416</v>
      </c>
      <c r="F9" s="72">
        <v>293969</v>
      </c>
      <c r="G9" s="72">
        <v>63074</v>
      </c>
      <c r="H9" s="72">
        <v>1813791</v>
      </c>
      <c r="I9" s="435"/>
      <c r="J9" s="72">
        <v>12121</v>
      </c>
      <c r="K9" s="72">
        <v>305067</v>
      </c>
      <c r="L9" s="72">
        <v>1497900</v>
      </c>
      <c r="M9" s="72">
        <v>83678</v>
      </c>
      <c r="N9" s="72">
        <v>1898766</v>
      </c>
      <c r="O9" s="72">
        <v>1295276</v>
      </c>
      <c r="P9" s="72">
        <v>404122</v>
      </c>
      <c r="Q9" s="72">
        <v>319854</v>
      </c>
      <c r="R9" s="72">
        <v>211743</v>
      </c>
      <c r="S9" s="433">
        <v>6687813</v>
      </c>
      <c r="U9" s="85"/>
    </row>
    <row r="10" spans="1:21" ht="10.8" x14ac:dyDescent="0.2">
      <c r="A10" s="78" t="s">
        <v>107</v>
      </c>
      <c r="B10" s="79">
        <f>SUM(B6:B9)</f>
        <v>1688321</v>
      </c>
      <c r="C10" s="79"/>
      <c r="D10" s="79">
        <f t="shared" ref="D10:S10" si="0">SUM(D6:D9)</f>
        <v>2786496</v>
      </c>
      <c r="E10" s="79">
        <f t="shared" si="0"/>
        <v>1183775</v>
      </c>
      <c r="F10" s="79">
        <f t="shared" si="0"/>
        <v>469308</v>
      </c>
      <c r="G10" s="79">
        <f t="shared" si="0"/>
        <v>152233</v>
      </c>
      <c r="H10" s="79">
        <f t="shared" si="0"/>
        <v>4591812</v>
      </c>
      <c r="I10" s="79"/>
      <c r="J10" s="79">
        <f>SUM(J6:J9)</f>
        <v>26672</v>
      </c>
      <c r="K10" s="79">
        <f>SUM(K6:K9)</f>
        <v>1322108</v>
      </c>
      <c r="L10" s="79">
        <f t="shared" si="0"/>
        <v>2117006</v>
      </c>
      <c r="M10" s="79">
        <f t="shared" si="0"/>
        <v>174040</v>
      </c>
      <c r="N10" s="79">
        <f>SUM(N6:N9)</f>
        <v>3639826</v>
      </c>
      <c r="O10" s="79">
        <f t="shared" si="0"/>
        <v>1939440</v>
      </c>
      <c r="P10" s="79">
        <f t="shared" si="0"/>
        <v>1147364</v>
      </c>
      <c r="Q10" s="79">
        <f t="shared" si="0"/>
        <v>397767</v>
      </c>
      <c r="R10" s="79">
        <f t="shared" si="0"/>
        <v>441620</v>
      </c>
      <c r="S10" s="436">
        <f t="shared" si="0"/>
        <v>13846150</v>
      </c>
      <c r="U10" s="85"/>
    </row>
    <row r="11" spans="1:21" s="92" customFormat="1" ht="10.8" x14ac:dyDescent="0.2">
      <c r="A11" s="86"/>
      <c r="B11" s="87"/>
      <c r="C11" s="87"/>
      <c r="D11" s="88"/>
      <c r="E11" s="88"/>
      <c r="F11" s="88"/>
      <c r="G11" s="88"/>
      <c r="H11" s="87"/>
      <c r="I11" s="87"/>
      <c r="J11" s="87"/>
      <c r="K11" s="87"/>
      <c r="L11" s="89"/>
      <c r="M11" s="89"/>
      <c r="N11" s="89"/>
      <c r="O11" s="90"/>
      <c r="P11" s="90"/>
      <c r="Q11" s="90"/>
      <c r="R11" s="90"/>
      <c r="S11" s="437"/>
    </row>
    <row r="12" spans="1:21" s="92" customFormat="1" ht="10.8" x14ac:dyDescent="0.2">
      <c r="A12" s="78" t="s">
        <v>170</v>
      </c>
      <c r="B12" s="79"/>
      <c r="C12" s="79"/>
      <c r="D12" s="80"/>
      <c r="E12" s="80"/>
      <c r="F12" s="80"/>
      <c r="G12" s="80"/>
      <c r="H12" s="79"/>
      <c r="I12" s="79"/>
      <c r="J12" s="79"/>
      <c r="K12" s="79"/>
      <c r="L12" s="81"/>
      <c r="M12" s="81"/>
      <c r="N12" s="81"/>
      <c r="O12" s="83"/>
      <c r="P12" s="83"/>
      <c r="Q12" s="83"/>
      <c r="R12" s="83"/>
      <c r="S12" s="438"/>
    </row>
    <row r="13" spans="1:21" ht="10.8" x14ac:dyDescent="0.2">
      <c r="A13" s="71" t="s">
        <v>4</v>
      </c>
      <c r="B13" s="72">
        <v>26516</v>
      </c>
      <c r="C13" s="72"/>
      <c r="D13" s="72">
        <v>87027</v>
      </c>
      <c r="E13" s="72">
        <v>198744</v>
      </c>
      <c r="F13" s="72">
        <v>25995</v>
      </c>
      <c r="G13" s="72">
        <v>4772</v>
      </c>
      <c r="H13" s="72">
        <v>316538</v>
      </c>
      <c r="I13" s="72"/>
      <c r="J13" s="72"/>
      <c r="K13" s="72">
        <v>0</v>
      </c>
      <c r="L13" s="72">
        <v>0</v>
      </c>
      <c r="M13" s="72">
        <v>0</v>
      </c>
      <c r="N13" s="72">
        <v>0</v>
      </c>
      <c r="O13" s="72">
        <v>38747</v>
      </c>
      <c r="P13" s="72">
        <v>1396825</v>
      </c>
      <c r="Q13" s="72">
        <v>30829</v>
      </c>
      <c r="R13" s="72">
        <v>202</v>
      </c>
      <c r="S13" s="433">
        <v>1809657</v>
      </c>
    </row>
    <row r="14" spans="1:21" ht="10.8" x14ac:dyDescent="0.2">
      <c r="A14" s="71" t="s">
        <v>6</v>
      </c>
      <c r="B14" s="72">
        <v>286035</v>
      </c>
      <c r="C14" s="72"/>
      <c r="D14" s="72">
        <v>4451</v>
      </c>
      <c r="E14" s="72">
        <v>29293</v>
      </c>
      <c r="F14" s="72">
        <v>5883</v>
      </c>
      <c r="G14" s="72">
        <v>0</v>
      </c>
      <c r="H14" s="72">
        <v>39627</v>
      </c>
      <c r="I14" s="72"/>
      <c r="J14" s="72"/>
      <c r="K14" s="72">
        <v>810648</v>
      </c>
      <c r="L14" s="72">
        <v>83400</v>
      </c>
      <c r="M14" s="72">
        <v>0</v>
      </c>
      <c r="N14" s="72">
        <v>894048</v>
      </c>
      <c r="O14" s="72">
        <v>48688</v>
      </c>
      <c r="P14" s="72">
        <v>18950</v>
      </c>
      <c r="Q14" s="72">
        <v>27813</v>
      </c>
      <c r="R14" s="72">
        <v>19849</v>
      </c>
      <c r="S14" s="433">
        <v>1335010</v>
      </c>
    </row>
    <row r="15" spans="1:21" ht="11.25" customHeight="1" x14ac:dyDescent="0.2">
      <c r="A15" s="78" t="s">
        <v>30</v>
      </c>
      <c r="B15" s="79">
        <f>SUM(B13:B14)</f>
        <v>312551</v>
      </c>
      <c r="C15" s="79"/>
      <c r="D15" s="79">
        <f>SUM(D13:D14)</f>
        <v>91478</v>
      </c>
      <c r="E15" s="79">
        <f>SUM(E13:E14)</f>
        <v>228037</v>
      </c>
      <c r="F15" s="79">
        <f t="shared" ref="F15:G15" si="1">SUM(F13:F14)</f>
        <v>31878</v>
      </c>
      <c r="G15" s="79">
        <f t="shared" si="1"/>
        <v>4772</v>
      </c>
      <c r="H15" s="79">
        <f>SUM(H13:H14)</f>
        <v>356165</v>
      </c>
      <c r="I15" s="79"/>
      <c r="J15" s="79">
        <f>J13+J14</f>
        <v>0</v>
      </c>
      <c r="K15" s="79">
        <f t="shared" ref="K15:S15" si="2">SUM(K13:K14)</f>
        <v>810648</v>
      </c>
      <c r="L15" s="79">
        <f t="shared" si="2"/>
        <v>83400</v>
      </c>
      <c r="M15" s="79">
        <f t="shared" si="2"/>
        <v>0</v>
      </c>
      <c r="N15" s="79">
        <f t="shared" si="2"/>
        <v>894048</v>
      </c>
      <c r="O15" s="79">
        <f t="shared" si="2"/>
        <v>87435</v>
      </c>
      <c r="P15" s="79">
        <f t="shared" si="2"/>
        <v>1415775</v>
      </c>
      <c r="Q15" s="79">
        <f t="shared" si="2"/>
        <v>58642</v>
      </c>
      <c r="R15" s="79">
        <f t="shared" si="2"/>
        <v>20051</v>
      </c>
      <c r="S15" s="436">
        <f t="shared" si="2"/>
        <v>3144667</v>
      </c>
    </row>
    <row r="16" spans="1:21" s="92" customFormat="1" ht="11.25" customHeight="1" x14ac:dyDescent="0.2">
      <c r="A16" s="93"/>
      <c r="B16" s="94"/>
      <c r="C16" s="94"/>
      <c r="D16" s="95"/>
      <c r="E16" s="95"/>
      <c r="F16" s="95"/>
      <c r="G16" s="95"/>
      <c r="H16" s="94"/>
      <c r="I16" s="94"/>
      <c r="J16" s="94"/>
      <c r="K16" s="94"/>
      <c r="L16" s="96"/>
      <c r="M16" s="96"/>
      <c r="N16" s="96"/>
      <c r="R16" s="439"/>
      <c r="S16" s="440"/>
    </row>
    <row r="17" spans="1:19" ht="11.25" customHeight="1" x14ac:dyDescent="0.2">
      <c r="A17" s="78" t="s">
        <v>11</v>
      </c>
      <c r="B17" s="79">
        <f>B10+B15</f>
        <v>2000872</v>
      </c>
      <c r="C17" s="79"/>
      <c r="D17" s="79">
        <f>D10+D15</f>
        <v>2877974</v>
      </c>
      <c r="E17" s="79">
        <f>E10+E15</f>
        <v>1411812</v>
      </c>
      <c r="F17" s="79">
        <f t="shared" ref="F17:G17" si="3">F10+F15</f>
        <v>501186</v>
      </c>
      <c r="G17" s="79">
        <f t="shared" si="3"/>
        <v>157005</v>
      </c>
      <c r="H17" s="79">
        <f>H10+H15</f>
        <v>4947977</v>
      </c>
      <c r="I17" s="79"/>
      <c r="J17" s="79">
        <f>J10+J15</f>
        <v>26672</v>
      </c>
      <c r="K17" s="79">
        <f>K10+K15</f>
        <v>2132756</v>
      </c>
      <c r="L17" s="79">
        <f>L10+L15</f>
        <v>2200406</v>
      </c>
      <c r="M17" s="79">
        <f>M10+M15</f>
        <v>174040</v>
      </c>
      <c r="N17" s="79">
        <f t="shared" ref="N17:S17" si="4">N10+N15</f>
        <v>4533874</v>
      </c>
      <c r="O17" s="79">
        <f t="shared" si="4"/>
        <v>2026875</v>
      </c>
      <c r="P17" s="79">
        <f t="shared" si="4"/>
        <v>2563139</v>
      </c>
      <c r="Q17" s="79">
        <f t="shared" si="4"/>
        <v>456409</v>
      </c>
      <c r="R17" s="79">
        <f t="shared" si="4"/>
        <v>461671</v>
      </c>
      <c r="S17" s="436">
        <f t="shared" si="4"/>
        <v>16990817</v>
      </c>
    </row>
    <row r="18" spans="1:19" ht="11.25" customHeight="1" x14ac:dyDescent="0.25">
      <c r="A18" s="71"/>
      <c r="B18" s="99"/>
      <c r="C18" s="99"/>
      <c r="D18" s="99"/>
      <c r="E18" s="99"/>
      <c r="F18" s="99"/>
      <c r="G18" s="99"/>
      <c r="H18" s="71"/>
      <c r="I18" s="71"/>
      <c r="J18" s="71"/>
      <c r="K18" s="71"/>
      <c r="L18" s="100"/>
      <c r="M18" s="100"/>
    </row>
    <row r="19" spans="1:19" ht="11.25" customHeight="1" x14ac:dyDescent="0.25">
      <c r="B19" s="73"/>
      <c r="C19" s="73"/>
      <c r="D19" s="73"/>
      <c r="E19" s="73"/>
      <c r="F19" s="73"/>
      <c r="G19" s="73"/>
      <c r="H19" s="71"/>
      <c r="I19" s="71"/>
      <c r="J19" s="71"/>
      <c r="K19" s="71"/>
      <c r="L19" s="101"/>
      <c r="M19" s="101"/>
    </row>
    <row r="20" spans="1:19" ht="11.25" customHeight="1" x14ac:dyDescent="0.25">
      <c r="A20" s="71"/>
      <c r="B20" s="102"/>
      <c r="H20" s="71"/>
      <c r="I20" s="71"/>
      <c r="J20" s="71"/>
      <c r="K20" s="71"/>
      <c r="L20" s="100"/>
      <c r="M20" s="100"/>
    </row>
    <row r="21" spans="1:19" s="92" customFormat="1" ht="11.25" customHeight="1" x14ac:dyDescent="0.25">
      <c r="A21" s="103"/>
      <c r="B21" s="103"/>
      <c r="C21" s="103"/>
      <c r="D21" s="103"/>
      <c r="E21" s="103"/>
      <c r="F21" s="103"/>
      <c r="G21" s="103"/>
      <c r="H21" s="71"/>
      <c r="I21" s="71"/>
      <c r="J21" s="71"/>
      <c r="K21" s="71"/>
      <c r="L21" s="100"/>
      <c r="M21" s="100"/>
      <c r="N21" s="12"/>
      <c r="O21" s="12"/>
      <c r="P21" s="12"/>
    </row>
    <row r="22" spans="1:19" ht="11.25" customHeight="1" x14ac:dyDescent="0.25">
      <c r="A22" s="103"/>
      <c r="D22" s="383"/>
      <c r="H22" s="71"/>
      <c r="I22" s="71"/>
      <c r="J22" s="71"/>
      <c r="K22" s="71"/>
      <c r="L22" s="100"/>
      <c r="M22" s="100"/>
    </row>
    <row r="23" spans="1:19" ht="11.25" customHeight="1" x14ac:dyDescent="0.25">
      <c r="D23" s="383"/>
    </row>
    <row r="24" spans="1:19" ht="11.25" customHeight="1" x14ac:dyDescent="0.25">
      <c r="D24" s="383"/>
    </row>
    <row r="25" spans="1:19" ht="11.25" customHeight="1" x14ac:dyDescent="0.25">
      <c r="D25" s="383"/>
    </row>
    <row r="26" spans="1:19" ht="11.25" customHeight="1" x14ac:dyDescent="0.25">
      <c r="D26" s="441"/>
    </row>
  </sheetData>
  <mergeCells count="2">
    <mergeCell ref="D3:H3"/>
    <mergeCell ref="K3:N3"/>
  </mergeCells>
  <conditionalFormatting sqref="A1">
    <cfRule type="cellIs" dxfId="8" priority="4" operator="equal">
      <formula>0</formula>
    </cfRule>
  </conditionalFormatting>
  <conditionalFormatting sqref="B4:S4">
    <cfRule type="cellIs" dxfId="7" priority="1" operator="equal">
      <formula>0</formula>
    </cfRule>
  </conditionalFormatting>
  <conditionalFormatting sqref="D22:D23">
    <cfRule type="cellIs" dxfId="6" priority="2" operator="equal">
      <formula>0</formula>
    </cfRule>
  </conditionalFormatting>
  <conditionalFormatting sqref="K3">
    <cfRule type="cellIs" dxfId="5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7DF29-7687-496B-BD7A-578B64C2B58C}">
  <sheetPr>
    <pageSetUpPr fitToPage="1"/>
  </sheetPr>
  <dimension ref="A1:H22"/>
  <sheetViews>
    <sheetView showGridLines="0" zoomScale="115" zoomScaleNormal="115" workbookViewId="0">
      <selection activeCell="C30" sqref="C30"/>
    </sheetView>
  </sheetViews>
  <sheetFormatPr baseColWidth="10" defaultColWidth="11.44140625" defaultRowHeight="11.25" customHeight="1" x14ac:dyDescent="0.2"/>
  <cols>
    <col min="1" max="1" width="42.44140625" style="55" customWidth="1"/>
    <col min="2" max="2" width="9" style="103" bestFit="1" customWidth="1"/>
    <col min="3" max="3" width="12.44140625" style="103" customWidth="1"/>
    <col min="4" max="4" width="9" style="103" customWidth="1"/>
    <col min="5" max="5" width="9.44140625" style="103" customWidth="1"/>
    <col min="6" max="6" width="8.109375" style="103" bestFit="1" customWidth="1"/>
    <col min="7" max="7" width="6.88671875" style="55" customWidth="1"/>
    <col min="8" max="239" width="11.44140625" style="55"/>
    <col min="240" max="240" width="43.109375" style="55" customWidth="1"/>
    <col min="241" max="241" width="10.5546875" style="55" customWidth="1"/>
    <col min="242" max="242" width="10" style="55" bestFit="1" customWidth="1"/>
    <col min="243" max="243" width="9.109375" style="55" customWidth="1"/>
    <col min="244" max="244" width="7" style="55" customWidth="1"/>
    <col min="245" max="245" width="10.5546875" style="55" bestFit="1" customWidth="1"/>
    <col min="246" max="246" width="11.88671875" style="55" bestFit="1" customWidth="1"/>
    <col min="247" max="248" width="11" style="55" bestFit="1" customWidth="1"/>
    <col min="249" max="249" width="10.88671875" style="55" bestFit="1" customWidth="1"/>
    <col min="250" max="250" width="9.109375" style="55" bestFit="1" customWidth="1"/>
    <col min="251" max="252" width="11.5546875" style="55" customWidth="1"/>
    <col min="253" max="253" width="14.44140625" style="55" customWidth="1"/>
    <col min="254" max="254" width="8.5546875" style="55" customWidth="1"/>
    <col min="255" max="256" width="11.44140625" style="55" customWidth="1"/>
    <col min="257" max="495" width="11.44140625" style="55"/>
    <col min="496" max="496" width="43.109375" style="55" customWidth="1"/>
    <col min="497" max="497" width="10.5546875" style="55" customWidth="1"/>
    <col min="498" max="498" width="10" style="55" bestFit="1" customWidth="1"/>
    <col min="499" max="499" width="9.109375" style="55" customWidth="1"/>
    <col min="500" max="500" width="7" style="55" customWidth="1"/>
    <col min="501" max="501" width="10.5546875" style="55" bestFit="1" customWidth="1"/>
    <col min="502" max="502" width="11.88671875" style="55" bestFit="1" customWidth="1"/>
    <col min="503" max="504" width="11" style="55" bestFit="1" customWidth="1"/>
    <col min="505" max="505" width="10.88671875" style="55" bestFit="1" customWidth="1"/>
    <col min="506" max="506" width="9.109375" style="55" bestFit="1" customWidth="1"/>
    <col min="507" max="508" width="11.5546875" style="55" customWidth="1"/>
    <col min="509" max="509" width="14.44140625" style="55" customWidth="1"/>
    <col min="510" max="510" width="8.5546875" style="55" customWidth="1"/>
    <col min="511" max="512" width="11.44140625" style="55" customWidth="1"/>
    <col min="513" max="751" width="11.44140625" style="55"/>
    <col min="752" max="752" width="43.109375" style="55" customWidth="1"/>
    <col min="753" max="753" width="10.5546875" style="55" customWidth="1"/>
    <col min="754" max="754" width="10" style="55" bestFit="1" customWidth="1"/>
    <col min="755" max="755" width="9.109375" style="55" customWidth="1"/>
    <col min="756" max="756" width="7" style="55" customWidth="1"/>
    <col min="757" max="757" width="10.5546875" style="55" bestFit="1" customWidth="1"/>
    <col min="758" max="758" width="11.88671875" style="55" bestFit="1" customWidth="1"/>
    <col min="759" max="760" width="11" style="55" bestFit="1" customWidth="1"/>
    <col min="761" max="761" width="10.88671875" style="55" bestFit="1" customWidth="1"/>
    <col min="762" max="762" width="9.109375" style="55" bestFit="1" customWidth="1"/>
    <col min="763" max="764" width="11.5546875" style="55" customWidth="1"/>
    <col min="765" max="765" width="14.44140625" style="55" customWidth="1"/>
    <col min="766" max="766" width="8.5546875" style="55" customWidth="1"/>
    <col min="767" max="768" width="11.44140625" style="55" customWidth="1"/>
    <col min="769" max="1007" width="11.44140625" style="55"/>
    <col min="1008" max="1008" width="43.109375" style="55" customWidth="1"/>
    <col min="1009" max="1009" width="10.5546875" style="55" customWidth="1"/>
    <col min="1010" max="1010" width="10" style="55" bestFit="1" customWidth="1"/>
    <col min="1011" max="1011" width="9.109375" style="55" customWidth="1"/>
    <col min="1012" max="1012" width="7" style="55" customWidth="1"/>
    <col min="1013" max="1013" width="10.5546875" style="55" bestFit="1" customWidth="1"/>
    <col min="1014" max="1014" width="11.88671875" style="55" bestFit="1" customWidth="1"/>
    <col min="1015" max="1016" width="11" style="55" bestFit="1" customWidth="1"/>
    <col min="1017" max="1017" width="10.88671875" style="55" bestFit="1" customWidth="1"/>
    <col min="1018" max="1018" width="9.109375" style="55" bestFit="1" customWidth="1"/>
    <col min="1019" max="1020" width="11.5546875" style="55" customWidth="1"/>
    <col min="1021" max="1021" width="14.44140625" style="55" customWidth="1"/>
    <col min="1022" max="1022" width="8.5546875" style="55" customWidth="1"/>
    <col min="1023" max="1024" width="11.44140625" style="55" customWidth="1"/>
    <col min="1025" max="1263" width="11.44140625" style="55"/>
    <col min="1264" max="1264" width="43.109375" style="55" customWidth="1"/>
    <col min="1265" max="1265" width="10.5546875" style="55" customWidth="1"/>
    <col min="1266" max="1266" width="10" style="55" bestFit="1" customWidth="1"/>
    <col min="1267" max="1267" width="9.109375" style="55" customWidth="1"/>
    <col min="1268" max="1268" width="7" style="55" customWidth="1"/>
    <col min="1269" max="1269" width="10.5546875" style="55" bestFit="1" customWidth="1"/>
    <col min="1270" max="1270" width="11.88671875" style="55" bestFit="1" customWidth="1"/>
    <col min="1271" max="1272" width="11" style="55" bestFit="1" customWidth="1"/>
    <col min="1273" max="1273" width="10.88671875" style="55" bestFit="1" customWidth="1"/>
    <col min="1274" max="1274" width="9.109375" style="55" bestFit="1" customWidth="1"/>
    <col min="1275" max="1276" width="11.5546875" style="55" customWidth="1"/>
    <col min="1277" max="1277" width="14.44140625" style="55" customWidth="1"/>
    <col min="1278" max="1278" width="8.5546875" style="55" customWidth="1"/>
    <col min="1279" max="1280" width="11.44140625" style="55" customWidth="1"/>
    <col min="1281" max="1519" width="11.44140625" style="55"/>
    <col min="1520" max="1520" width="43.109375" style="55" customWidth="1"/>
    <col min="1521" max="1521" width="10.5546875" style="55" customWidth="1"/>
    <col min="1522" max="1522" width="10" style="55" bestFit="1" customWidth="1"/>
    <col min="1523" max="1523" width="9.109375" style="55" customWidth="1"/>
    <col min="1524" max="1524" width="7" style="55" customWidth="1"/>
    <col min="1525" max="1525" width="10.5546875" style="55" bestFit="1" customWidth="1"/>
    <col min="1526" max="1526" width="11.88671875" style="55" bestFit="1" customWidth="1"/>
    <col min="1527" max="1528" width="11" style="55" bestFit="1" customWidth="1"/>
    <col min="1529" max="1529" width="10.88671875" style="55" bestFit="1" customWidth="1"/>
    <col min="1530" max="1530" width="9.109375" style="55" bestFit="1" customWidth="1"/>
    <col min="1531" max="1532" width="11.5546875" style="55" customWidth="1"/>
    <col min="1533" max="1533" width="14.44140625" style="55" customWidth="1"/>
    <col min="1534" max="1534" width="8.5546875" style="55" customWidth="1"/>
    <col min="1535" max="1536" width="11.44140625" style="55" customWidth="1"/>
    <col min="1537" max="1775" width="11.44140625" style="55"/>
    <col min="1776" max="1776" width="43.109375" style="55" customWidth="1"/>
    <col min="1777" max="1777" width="10.5546875" style="55" customWidth="1"/>
    <col min="1778" max="1778" width="10" style="55" bestFit="1" customWidth="1"/>
    <col min="1779" max="1779" width="9.109375" style="55" customWidth="1"/>
    <col min="1780" max="1780" width="7" style="55" customWidth="1"/>
    <col min="1781" max="1781" width="10.5546875" style="55" bestFit="1" customWidth="1"/>
    <col min="1782" max="1782" width="11.88671875" style="55" bestFit="1" customWidth="1"/>
    <col min="1783" max="1784" width="11" style="55" bestFit="1" customWidth="1"/>
    <col min="1785" max="1785" width="10.88671875" style="55" bestFit="1" customWidth="1"/>
    <col min="1786" max="1786" width="9.109375" style="55" bestFit="1" customWidth="1"/>
    <col min="1787" max="1788" width="11.5546875" style="55" customWidth="1"/>
    <col min="1789" max="1789" width="14.44140625" style="55" customWidth="1"/>
    <col min="1790" max="1790" width="8.5546875" style="55" customWidth="1"/>
    <col min="1791" max="1792" width="11.44140625" style="55" customWidth="1"/>
    <col min="1793" max="2031" width="11.44140625" style="55"/>
    <col min="2032" max="2032" width="43.109375" style="55" customWidth="1"/>
    <col min="2033" max="2033" width="10.5546875" style="55" customWidth="1"/>
    <col min="2034" max="2034" width="10" style="55" bestFit="1" customWidth="1"/>
    <col min="2035" max="2035" width="9.109375" style="55" customWidth="1"/>
    <col min="2036" max="2036" width="7" style="55" customWidth="1"/>
    <col min="2037" max="2037" width="10.5546875" style="55" bestFit="1" customWidth="1"/>
    <col min="2038" max="2038" width="11.88671875" style="55" bestFit="1" customWidth="1"/>
    <col min="2039" max="2040" width="11" style="55" bestFit="1" customWidth="1"/>
    <col min="2041" max="2041" width="10.88671875" style="55" bestFit="1" customWidth="1"/>
    <col min="2042" max="2042" width="9.109375" style="55" bestFit="1" customWidth="1"/>
    <col min="2043" max="2044" width="11.5546875" style="55" customWidth="1"/>
    <col min="2045" max="2045" width="14.44140625" style="55" customWidth="1"/>
    <col min="2046" max="2046" width="8.5546875" style="55" customWidth="1"/>
    <col min="2047" max="2048" width="11.44140625" style="55" customWidth="1"/>
    <col min="2049" max="2287" width="11.44140625" style="55"/>
    <col min="2288" max="2288" width="43.109375" style="55" customWidth="1"/>
    <col min="2289" max="2289" width="10.5546875" style="55" customWidth="1"/>
    <col min="2290" max="2290" width="10" style="55" bestFit="1" customWidth="1"/>
    <col min="2291" max="2291" width="9.109375" style="55" customWidth="1"/>
    <col min="2292" max="2292" width="7" style="55" customWidth="1"/>
    <col min="2293" max="2293" width="10.5546875" style="55" bestFit="1" customWidth="1"/>
    <col min="2294" max="2294" width="11.88671875" style="55" bestFit="1" customWidth="1"/>
    <col min="2295" max="2296" width="11" style="55" bestFit="1" customWidth="1"/>
    <col min="2297" max="2297" width="10.88671875" style="55" bestFit="1" customWidth="1"/>
    <col min="2298" max="2298" width="9.109375" style="55" bestFit="1" customWidth="1"/>
    <col min="2299" max="2300" width="11.5546875" style="55" customWidth="1"/>
    <col min="2301" max="2301" width="14.44140625" style="55" customWidth="1"/>
    <col min="2302" max="2302" width="8.5546875" style="55" customWidth="1"/>
    <col min="2303" max="2304" width="11.44140625" style="55" customWidth="1"/>
    <col min="2305" max="2543" width="11.44140625" style="55"/>
    <col min="2544" max="2544" width="43.109375" style="55" customWidth="1"/>
    <col min="2545" max="2545" width="10.5546875" style="55" customWidth="1"/>
    <col min="2546" max="2546" width="10" style="55" bestFit="1" customWidth="1"/>
    <col min="2547" max="2547" width="9.109375" style="55" customWidth="1"/>
    <col min="2548" max="2548" width="7" style="55" customWidth="1"/>
    <col min="2549" max="2549" width="10.5546875" style="55" bestFit="1" customWidth="1"/>
    <col min="2550" max="2550" width="11.88671875" style="55" bestFit="1" customWidth="1"/>
    <col min="2551" max="2552" width="11" style="55" bestFit="1" customWidth="1"/>
    <col min="2553" max="2553" width="10.88671875" style="55" bestFit="1" customWidth="1"/>
    <col min="2554" max="2554" width="9.109375" style="55" bestFit="1" customWidth="1"/>
    <col min="2555" max="2556" width="11.5546875" style="55" customWidth="1"/>
    <col min="2557" max="2557" width="14.44140625" style="55" customWidth="1"/>
    <col min="2558" max="2558" width="8.5546875" style="55" customWidth="1"/>
    <col min="2559" max="2560" width="11.44140625" style="55" customWidth="1"/>
    <col min="2561" max="2799" width="11.44140625" style="55"/>
    <col min="2800" max="2800" width="43.109375" style="55" customWidth="1"/>
    <col min="2801" max="2801" width="10.5546875" style="55" customWidth="1"/>
    <col min="2802" max="2802" width="10" style="55" bestFit="1" customWidth="1"/>
    <col min="2803" max="2803" width="9.109375" style="55" customWidth="1"/>
    <col min="2804" max="2804" width="7" style="55" customWidth="1"/>
    <col min="2805" max="2805" width="10.5546875" style="55" bestFit="1" customWidth="1"/>
    <col min="2806" max="2806" width="11.88671875" style="55" bestFit="1" customWidth="1"/>
    <col min="2807" max="2808" width="11" style="55" bestFit="1" customWidth="1"/>
    <col min="2809" max="2809" width="10.88671875" style="55" bestFit="1" customWidth="1"/>
    <col min="2810" max="2810" width="9.109375" style="55" bestFit="1" customWidth="1"/>
    <col min="2811" max="2812" width="11.5546875" style="55" customWidth="1"/>
    <col min="2813" max="2813" width="14.44140625" style="55" customWidth="1"/>
    <col min="2814" max="2814" width="8.5546875" style="55" customWidth="1"/>
    <col min="2815" max="2816" width="11.44140625" style="55" customWidth="1"/>
    <col min="2817" max="3055" width="11.44140625" style="55"/>
    <col min="3056" max="3056" width="43.109375" style="55" customWidth="1"/>
    <col min="3057" max="3057" width="10.5546875" style="55" customWidth="1"/>
    <col min="3058" max="3058" width="10" style="55" bestFit="1" customWidth="1"/>
    <col min="3059" max="3059" width="9.109375" style="55" customWidth="1"/>
    <col min="3060" max="3060" width="7" style="55" customWidth="1"/>
    <col min="3061" max="3061" width="10.5546875" style="55" bestFit="1" customWidth="1"/>
    <col min="3062" max="3062" width="11.88671875" style="55" bestFit="1" customWidth="1"/>
    <col min="3063" max="3064" width="11" style="55" bestFit="1" customWidth="1"/>
    <col min="3065" max="3065" width="10.88671875" style="55" bestFit="1" customWidth="1"/>
    <col min="3066" max="3066" width="9.109375" style="55" bestFit="1" customWidth="1"/>
    <col min="3067" max="3068" width="11.5546875" style="55" customWidth="1"/>
    <col min="3069" max="3069" width="14.44140625" style="55" customWidth="1"/>
    <col min="3070" max="3070" width="8.5546875" style="55" customWidth="1"/>
    <col min="3071" max="3072" width="11.44140625" style="55" customWidth="1"/>
    <col min="3073" max="3311" width="11.44140625" style="55"/>
    <col min="3312" max="3312" width="43.109375" style="55" customWidth="1"/>
    <col min="3313" max="3313" width="10.5546875" style="55" customWidth="1"/>
    <col min="3314" max="3314" width="10" style="55" bestFit="1" customWidth="1"/>
    <col min="3315" max="3315" width="9.109375" style="55" customWidth="1"/>
    <col min="3316" max="3316" width="7" style="55" customWidth="1"/>
    <col min="3317" max="3317" width="10.5546875" style="55" bestFit="1" customWidth="1"/>
    <col min="3318" max="3318" width="11.88671875" style="55" bestFit="1" customWidth="1"/>
    <col min="3319" max="3320" width="11" style="55" bestFit="1" customWidth="1"/>
    <col min="3321" max="3321" width="10.88671875" style="55" bestFit="1" customWidth="1"/>
    <col min="3322" max="3322" width="9.109375" style="55" bestFit="1" customWidth="1"/>
    <col min="3323" max="3324" width="11.5546875" style="55" customWidth="1"/>
    <col min="3325" max="3325" width="14.44140625" style="55" customWidth="1"/>
    <col min="3326" max="3326" width="8.5546875" style="55" customWidth="1"/>
    <col min="3327" max="3328" width="11.44140625" style="55" customWidth="1"/>
    <col min="3329" max="3567" width="11.44140625" style="55"/>
    <col min="3568" max="3568" width="43.109375" style="55" customWidth="1"/>
    <col min="3569" max="3569" width="10.5546875" style="55" customWidth="1"/>
    <col min="3570" max="3570" width="10" style="55" bestFit="1" customWidth="1"/>
    <col min="3571" max="3571" width="9.109375" style="55" customWidth="1"/>
    <col min="3572" max="3572" width="7" style="55" customWidth="1"/>
    <col min="3573" max="3573" width="10.5546875" style="55" bestFit="1" customWidth="1"/>
    <col min="3574" max="3574" width="11.88671875" style="55" bestFit="1" customWidth="1"/>
    <col min="3575" max="3576" width="11" style="55" bestFit="1" customWidth="1"/>
    <col min="3577" max="3577" width="10.88671875" style="55" bestFit="1" customWidth="1"/>
    <col min="3578" max="3578" width="9.109375" style="55" bestFit="1" customWidth="1"/>
    <col min="3579" max="3580" width="11.5546875" style="55" customWidth="1"/>
    <col min="3581" max="3581" width="14.44140625" style="55" customWidth="1"/>
    <col min="3582" max="3582" width="8.5546875" style="55" customWidth="1"/>
    <col min="3583" max="3584" width="11.44140625" style="55" customWidth="1"/>
    <col min="3585" max="3823" width="11.44140625" style="55"/>
    <col min="3824" max="3824" width="43.109375" style="55" customWidth="1"/>
    <col min="3825" max="3825" width="10.5546875" style="55" customWidth="1"/>
    <col min="3826" max="3826" width="10" style="55" bestFit="1" customWidth="1"/>
    <col min="3827" max="3827" width="9.109375" style="55" customWidth="1"/>
    <col min="3828" max="3828" width="7" style="55" customWidth="1"/>
    <col min="3829" max="3829" width="10.5546875" style="55" bestFit="1" customWidth="1"/>
    <col min="3830" max="3830" width="11.88671875" style="55" bestFit="1" customWidth="1"/>
    <col min="3831" max="3832" width="11" style="55" bestFit="1" customWidth="1"/>
    <col min="3833" max="3833" width="10.88671875" style="55" bestFit="1" customWidth="1"/>
    <col min="3834" max="3834" width="9.109375" style="55" bestFit="1" customWidth="1"/>
    <col min="3835" max="3836" width="11.5546875" style="55" customWidth="1"/>
    <col min="3837" max="3837" width="14.44140625" style="55" customWidth="1"/>
    <col min="3838" max="3838" width="8.5546875" style="55" customWidth="1"/>
    <col min="3839" max="3840" width="11.44140625" style="55" customWidth="1"/>
    <col min="3841" max="4079" width="11.44140625" style="55"/>
    <col min="4080" max="4080" width="43.109375" style="55" customWidth="1"/>
    <col min="4081" max="4081" width="10.5546875" style="55" customWidth="1"/>
    <col min="4082" max="4082" width="10" style="55" bestFit="1" customWidth="1"/>
    <col min="4083" max="4083" width="9.109375" style="55" customWidth="1"/>
    <col min="4084" max="4084" width="7" style="55" customWidth="1"/>
    <col min="4085" max="4085" width="10.5546875" style="55" bestFit="1" customWidth="1"/>
    <col min="4086" max="4086" width="11.88671875" style="55" bestFit="1" customWidth="1"/>
    <col min="4087" max="4088" width="11" style="55" bestFit="1" customWidth="1"/>
    <col min="4089" max="4089" width="10.88671875" style="55" bestFit="1" customWidth="1"/>
    <col min="4090" max="4090" width="9.109375" style="55" bestFit="1" customWidth="1"/>
    <col min="4091" max="4092" width="11.5546875" style="55" customWidth="1"/>
    <col min="4093" max="4093" width="14.44140625" style="55" customWidth="1"/>
    <col min="4094" max="4094" width="8.5546875" style="55" customWidth="1"/>
    <col min="4095" max="4096" width="11.44140625" style="55" customWidth="1"/>
    <col min="4097" max="4335" width="11.44140625" style="55"/>
    <col min="4336" max="4336" width="43.109375" style="55" customWidth="1"/>
    <col min="4337" max="4337" width="10.5546875" style="55" customWidth="1"/>
    <col min="4338" max="4338" width="10" style="55" bestFit="1" customWidth="1"/>
    <col min="4339" max="4339" width="9.109375" style="55" customWidth="1"/>
    <col min="4340" max="4340" width="7" style="55" customWidth="1"/>
    <col min="4341" max="4341" width="10.5546875" style="55" bestFit="1" customWidth="1"/>
    <col min="4342" max="4342" width="11.88671875" style="55" bestFit="1" customWidth="1"/>
    <col min="4343" max="4344" width="11" style="55" bestFit="1" customWidth="1"/>
    <col min="4345" max="4345" width="10.88671875" style="55" bestFit="1" customWidth="1"/>
    <col min="4346" max="4346" width="9.109375" style="55" bestFit="1" customWidth="1"/>
    <col min="4347" max="4348" width="11.5546875" style="55" customWidth="1"/>
    <col min="4349" max="4349" width="14.44140625" style="55" customWidth="1"/>
    <col min="4350" max="4350" width="8.5546875" style="55" customWidth="1"/>
    <col min="4351" max="4352" width="11.44140625" style="55" customWidth="1"/>
    <col min="4353" max="4591" width="11.44140625" style="55"/>
    <col min="4592" max="4592" width="43.109375" style="55" customWidth="1"/>
    <col min="4593" max="4593" width="10.5546875" style="55" customWidth="1"/>
    <col min="4594" max="4594" width="10" style="55" bestFit="1" customWidth="1"/>
    <col min="4595" max="4595" width="9.109375" style="55" customWidth="1"/>
    <col min="4596" max="4596" width="7" style="55" customWidth="1"/>
    <col min="4597" max="4597" width="10.5546875" style="55" bestFit="1" customWidth="1"/>
    <col min="4598" max="4598" width="11.88671875" style="55" bestFit="1" customWidth="1"/>
    <col min="4599" max="4600" width="11" style="55" bestFit="1" customWidth="1"/>
    <col min="4601" max="4601" width="10.88671875" style="55" bestFit="1" customWidth="1"/>
    <col min="4602" max="4602" width="9.109375" style="55" bestFit="1" customWidth="1"/>
    <col min="4603" max="4604" width="11.5546875" style="55" customWidth="1"/>
    <col min="4605" max="4605" width="14.44140625" style="55" customWidth="1"/>
    <col min="4606" max="4606" width="8.5546875" style="55" customWidth="1"/>
    <col min="4607" max="4608" width="11.44140625" style="55" customWidth="1"/>
    <col min="4609" max="4847" width="11.44140625" style="55"/>
    <col min="4848" max="4848" width="43.109375" style="55" customWidth="1"/>
    <col min="4849" max="4849" width="10.5546875" style="55" customWidth="1"/>
    <col min="4850" max="4850" width="10" style="55" bestFit="1" customWidth="1"/>
    <col min="4851" max="4851" width="9.109375" style="55" customWidth="1"/>
    <col min="4852" max="4852" width="7" style="55" customWidth="1"/>
    <col min="4853" max="4853" width="10.5546875" style="55" bestFit="1" customWidth="1"/>
    <col min="4854" max="4854" width="11.88671875" style="55" bestFit="1" customWidth="1"/>
    <col min="4855" max="4856" width="11" style="55" bestFit="1" customWidth="1"/>
    <col min="4857" max="4857" width="10.88671875" style="55" bestFit="1" customWidth="1"/>
    <col min="4858" max="4858" width="9.109375" style="55" bestFit="1" customWidth="1"/>
    <col min="4859" max="4860" width="11.5546875" style="55" customWidth="1"/>
    <col min="4861" max="4861" width="14.44140625" style="55" customWidth="1"/>
    <col min="4862" max="4862" width="8.5546875" style="55" customWidth="1"/>
    <col min="4863" max="4864" width="11.44140625" style="55" customWidth="1"/>
    <col min="4865" max="5103" width="11.44140625" style="55"/>
    <col min="5104" max="5104" width="43.109375" style="55" customWidth="1"/>
    <col min="5105" max="5105" width="10.5546875" style="55" customWidth="1"/>
    <col min="5106" max="5106" width="10" style="55" bestFit="1" customWidth="1"/>
    <col min="5107" max="5107" width="9.109375" style="55" customWidth="1"/>
    <col min="5108" max="5108" width="7" style="55" customWidth="1"/>
    <col min="5109" max="5109" width="10.5546875" style="55" bestFit="1" customWidth="1"/>
    <col min="5110" max="5110" width="11.88671875" style="55" bestFit="1" customWidth="1"/>
    <col min="5111" max="5112" width="11" style="55" bestFit="1" customWidth="1"/>
    <col min="5113" max="5113" width="10.88671875" style="55" bestFit="1" customWidth="1"/>
    <col min="5114" max="5114" width="9.109375" style="55" bestFit="1" customWidth="1"/>
    <col min="5115" max="5116" width="11.5546875" style="55" customWidth="1"/>
    <col min="5117" max="5117" width="14.44140625" style="55" customWidth="1"/>
    <col min="5118" max="5118" width="8.5546875" style="55" customWidth="1"/>
    <col min="5119" max="5120" width="11.44140625" style="55" customWidth="1"/>
    <col min="5121" max="5359" width="11.44140625" style="55"/>
    <col min="5360" max="5360" width="43.109375" style="55" customWidth="1"/>
    <col min="5361" max="5361" width="10.5546875" style="55" customWidth="1"/>
    <col min="5362" max="5362" width="10" style="55" bestFit="1" customWidth="1"/>
    <col min="5363" max="5363" width="9.109375" style="55" customWidth="1"/>
    <col min="5364" max="5364" width="7" style="55" customWidth="1"/>
    <col min="5365" max="5365" width="10.5546875" style="55" bestFit="1" customWidth="1"/>
    <col min="5366" max="5366" width="11.88671875" style="55" bestFit="1" customWidth="1"/>
    <col min="5367" max="5368" width="11" style="55" bestFit="1" customWidth="1"/>
    <col min="5369" max="5369" width="10.88671875" style="55" bestFit="1" customWidth="1"/>
    <col min="5370" max="5370" width="9.109375" style="55" bestFit="1" customWidth="1"/>
    <col min="5371" max="5372" width="11.5546875" style="55" customWidth="1"/>
    <col min="5373" max="5373" width="14.44140625" style="55" customWidth="1"/>
    <col min="5374" max="5374" width="8.5546875" style="55" customWidth="1"/>
    <col min="5375" max="5376" width="11.44140625" style="55" customWidth="1"/>
    <col min="5377" max="5615" width="11.44140625" style="55"/>
    <col min="5616" max="5616" width="43.109375" style="55" customWidth="1"/>
    <col min="5617" max="5617" width="10.5546875" style="55" customWidth="1"/>
    <col min="5618" max="5618" width="10" style="55" bestFit="1" customWidth="1"/>
    <col min="5619" max="5619" width="9.109375" style="55" customWidth="1"/>
    <col min="5620" max="5620" width="7" style="55" customWidth="1"/>
    <col min="5621" max="5621" width="10.5546875" style="55" bestFit="1" customWidth="1"/>
    <col min="5622" max="5622" width="11.88671875" style="55" bestFit="1" customWidth="1"/>
    <col min="5623" max="5624" width="11" style="55" bestFit="1" customWidth="1"/>
    <col min="5625" max="5625" width="10.88671875" style="55" bestFit="1" customWidth="1"/>
    <col min="5626" max="5626" width="9.109375" style="55" bestFit="1" customWidth="1"/>
    <col min="5627" max="5628" width="11.5546875" style="55" customWidth="1"/>
    <col min="5629" max="5629" width="14.44140625" style="55" customWidth="1"/>
    <col min="5630" max="5630" width="8.5546875" style="55" customWidth="1"/>
    <col min="5631" max="5632" width="11.44140625" style="55" customWidth="1"/>
    <col min="5633" max="5871" width="11.44140625" style="55"/>
    <col min="5872" max="5872" width="43.109375" style="55" customWidth="1"/>
    <col min="5873" max="5873" width="10.5546875" style="55" customWidth="1"/>
    <col min="5874" max="5874" width="10" style="55" bestFit="1" customWidth="1"/>
    <col min="5875" max="5875" width="9.109375" style="55" customWidth="1"/>
    <col min="5876" max="5876" width="7" style="55" customWidth="1"/>
    <col min="5877" max="5877" width="10.5546875" style="55" bestFit="1" customWidth="1"/>
    <col min="5878" max="5878" width="11.88671875" style="55" bestFit="1" customWidth="1"/>
    <col min="5879" max="5880" width="11" style="55" bestFit="1" customWidth="1"/>
    <col min="5881" max="5881" width="10.88671875" style="55" bestFit="1" customWidth="1"/>
    <col min="5882" max="5882" width="9.109375" style="55" bestFit="1" customWidth="1"/>
    <col min="5883" max="5884" width="11.5546875" style="55" customWidth="1"/>
    <col min="5885" max="5885" width="14.44140625" style="55" customWidth="1"/>
    <col min="5886" max="5886" width="8.5546875" style="55" customWidth="1"/>
    <col min="5887" max="5888" width="11.44140625" style="55" customWidth="1"/>
    <col min="5889" max="6127" width="11.44140625" style="55"/>
    <col min="6128" max="6128" width="43.109375" style="55" customWidth="1"/>
    <col min="6129" max="6129" width="10.5546875" style="55" customWidth="1"/>
    <col min="6130" max="6130" width="10" style="55" bestFit="1" customWidth="1"/>
    <col min="6131" max="6131" width="9.109375" style="55" customWidth="1"/>
    <col min="6132" max="6132" width="7" style="55" customWidth="1"/>
    <col min="6133" max="6133" width="10.5546875" style="55" bestFit="1" customWidth="1"/>
    <col min="6134" max="6134" width="11.88671875" style="55" bestFit="1" customWidth="1"/>
    <col min="6135" max="6136" width="11" style="55" bestFit="1" customWidth="1"/>
    <col min="6137" max="6137" width="10.88671875" style="55" bestFit="1" customWidth="1"/>
    <col min="6138" max="6138" width="9.109375" style="55" bestFit="1" customWidth="1"/>
    <col min="6139" max="6140" width="11.5546875" style="55" customWidth="1"/>
    <col min="6141" max="6141" width="14.44140625" style="55" customWidth="1"/>
    <col min="6142" max="6142" width="8.5546875" style="55" customWidth="1"/>
    <col min="6143" max="6144" width="11.44140625" style="55" customWidth="1"/>
    <col min="6145" max="6383" width="11.44140625" style="55"/>
    <col min="6384" max="6384" width="43.109375" style="55" customWidth="1"/>
    <col min="6385" max="6385" width="10.5546875" style="55" customWidth="1"/>
    <col min="6386" max="6386" width="10" style="55" bestFit="1" customWidth="1"/>
    <col min="6387" max="6387" width="9.109375" style="55" customWidth="1"/>
    <col min="6388" max="6388" width="7" style="55" customWidth="1"/>
    <col min="6389" max="6389" width="10.5546875" style="55" bestFit="1" customWidth="1"/>
    <col min="6390" max="6390" width="11.88671875" style="55" bestFit="1" customWidth="1"/>
    <col min="6391" max="6392" width="11" style="55" bestFit="1" customWidth="1"/>
    <col min="6393" max="6393" width="10.88671875" style="55" bestFit="1" customWidth="1"/>
    <col min="6394" max="6394" width="9.109375" style="55" bestFit="1" customWidth="1"/>
    <col min="6395" max="6396" width="11.5546875" style="55" customWidth="1"/>
    <col min="6397" max="6397" width="14.44140625" style="55" customWidth="1"/>
    <col min="6398" max="6398" width="8.5546875" style="55" customWidth="1"/>
    <col min="6399" max="6400" width="11.44140625" style="55" customWidth="1"/>
    <col min="6401" max="6639" width="11.44140625" style="55"/>
    <col min="6640" max="6640" width="43.109375" style="55" customWidth="1"/>
    <col min="6641" max="6641" width="10.5546875" style="55" customWidth="1"/>
    <col min="6642" max="6642" width="10" style="55" bestFit="1" customWidth="1"/>
    <col min="6643" max="6643" width="9.109375" style="55" customWidth="1"/>
    <col min="6644" max="6644" width="7" style="55" customWidth="1"/>
    <col min="6645" max="6645" width="10.5546875" style="55" bestFit="1" customWidth="1"/>
    <col min="6646" max="6646" width="11.88671875" style="55" bestFit="1" customWidth="1"/>
    <col min="6647" max="6648" width="11" style="55" bestFit="1" customWidth="1"/>
    <col min="6649" max="6649" width="10.88671875" style="55" bestFit="1" customWidth="1"/>
    <col min="6650" max="6650" width="9.109375" style="55" bestFit="1" customWidth="1"/>
    <col min="6651" max="6652" width="11.5546875" style="55" customWidth="1"/>
    <col min="6653" max="6653" width="14.44140625" style="55" customWidth="1"/>
    <col min="6654" max="6654" width="8.5546875" style="55" customWidth="1"/>
    <col min="6655" max="6656" width="11.44140625" style="55" customWidth="1"/>
    <col min="6657" max="6895" width="11.44140625" style="55"/>
    <col min="6896" max="6896" width="43.109375" style="55" customWidth="1"/>
    <col min="6897" max="6897" width="10.5546875" style="55" customWidth="1"/>
    <col min="6898" max="6898" width="10" style="55" bestFit="1" customWidth="1"/>
    <col min="6899" max="6899" width="9.109375" style="55" customWidth="1"/>
    <col min="6900" max="6900" width="7" style="55" customWidth="1"/>
    <col min="6901" max="6901" width="10.5546875" style="55" bestFit="1" customWidth="1"/>
    <col min="6902" max="6902" width="11.88671875" style="55" bestFit="1" customWidth="1"/>
    <col min="6903" max="6904" width="11" style="55" bestFit="1" customWidth="1"/>
    <col min="6905" max="6905" width="10.88671875" style="55" bestFit="1" customWidth="1"/>
    <col min="6906" max="6906" width="9.109375" style="55" bestFit="1" customWidth="1"/>
    <col min="6907" max="6908" width="11.5546875" style="55" customWidth="1"/>
    <col min="6909" max="6909" width="14.44140625" style="55" customWidth="1"/>
    <col min="6910" max="6910" width="8.5546875" style="55" customWidth="1"/>
    <col min="6911" max="6912" width="11.44140625" style="55" customWidth="1"/>
    <col min="6913" max="7151" width="11.44140625" style="55"/>
    <col min="7152" max="7152" width="43.109375" style="55" customWidth="1"/>
    <col min="7153" max="7153" width="10.5546875" style="55" customWidth="1"/>
    <col min="7154" max="7154" width="10" style="55" bestFit="1" customWidth="1"/>
    <col min="7155" max="7155" width="9.109375" style="55" customWidth="1"/>
    <col min="7156" max="7156" width="7" style="55" customWidth="1"/>
    <col min="7157" max="7157" width="10.5546875" style="55" bestFit="1" customWidth="1"/>
    <col min="7158" max="7158" width="11.88671875" style="55" bestFit="1" customWidth="1"/>
    <col min="7159" max="7160" width="11" style="55" bestFit="1" customWidth="1"/>
    <col min="7161" max="7161" width="10.88671875" style="55" bestFit="1" customWidth="1"/>
    <col min="7162" max="7162" width="9.109375" style="55" bestFit="1" customWidth="1"/>
    <col min="7163" max="7164" width="11.5546875" style="55" customWidth="1"/>
    <col min="7165" max="7165" width="14.44140625" style="55" customWidth="1"/>
    <col min="7166" max="7166" width="8.5546875" style="55" customWidth="1"/>
    <col min="7167" max="7168" width="11.44140625" style="55" customWidth="1"/>
    <col min="7169" max="7407" width="11.44140625" style="55"/>
    <col min="7408" max="7408" width="43.109375" style="55" customWidth="1"/>
    <col min="7409" max="7409" width="10.5546875" style="55" customWidth="1"/>
    <col min="7410" max="7410" width="10" style="55" bestFit="1" customWidth="1"/>
    <col min="7411" max="7411" width="9.109375" style="55" customWidth="1"/>
    <col min="7412" max="7412" width="7" style="55" customWidth="1"/>
    <col min="7413" max="7413" width="10.5546875" style="55" bestFit="1" customWidth="1"/>
    <col min="7414" max="7414" width="11.88671875" style="55" bestFit="1" customWidth="1"/>
    <col min="7415" max="7416" width="11" style="55" bestFit="1" customWidth="1"/>
    <col min="7417" max="7417" width="10.88671875" style="55" bestFit="1" customWidth="1"/>
    <col min="7418" max="7418" width="9.109375" style="55" bestFit="1" customWidth="1"/>
    <col min="7419" max="7420" width="11.5546875" style="55" customWidth="1"/>
    <col min="7421" max="7421" width="14.44140625" style="55" customWidth="1"/>
    <col min="7422" max="7422" width="8.5546875" style="55" customWidth="1"/>
    <col min="7423" max="7424" width="11.44140625" style="55" customWidth="1"/>
    <col min="7425" max="7663" width="11.44140625" style="55"/>
    <col min="7664" max="7664" width="43.109375" style="55" customWidth="1"/>
    <col min="7665" max="7665" width="10.5546875" style="55" customWidth="1"/>
    <col min="7666" max="7666" width="10" style="55" bestFit="1" customWidth="1"/>
    <col min="7667" max="7667" width="9.109375" style="55" customWidth="1"/>
    <col min="7668" max="7668" width="7" style="55" customWidth="1"/>
    <col min="7669" max="7669" width="10.5546875" style="55" bestFit="1" customWidth="1"/>
    <col min="7670" max="7670" width="11.88671875" style="55" bestFit="1" customWidth="1"/>
    <col min="7671" max="7672" width="11" style="55" bestFit="1" customWidth="1"/>
    <col min="7673" max="7673" width="10.88671875" style="55" bestFit="1" customWidth="1"/>
    <col min="7674" max="7674" width="9.109375" style="55" bestFit="1" customWidth="1"/>
    <col min="7675" max="7676" width="11.5546875" style="55" customWidth="1"/>
    <col min="7677" max="7677" width="14.44140625" style="55" customWidth="1"/>
    <col min="7678" max="7678" width="8.5546875" style="55" customWidth="1"/>
    <col min="7679" max="7680" width="11.44140625" style="55" customWidth="1"/>
    <col min="7681" max="7919" width="11.44140625" style="55"/>
    <col min="7920" max="7920" width="43.109375" style="55" customWidth="1"/>
    <col min="7921" max="7921" width="10.5546875" style="55" customWidth="1"/>
    <col min="7922" max="7922" width="10" style="55" bestFit="1" customWidth="1"/>
    <col min="7923" max="7923" width="9.109375" style="55" customWidth="1"/>
    <col min="7924" max="7924" width="7" style="55" customWidth="1"/>
    <col min="7925" max="7925" width="10.5546875" style="55" bestFit="1" customWidth="1"/>
    <col min="7926" max="7926" width="11.88671875" style="55" bestFit="1" customWidth="1"/>
    <col min="7927" max="7928" width="11" style="55" bestFit="1" customWidth="1"/>
    <col min="7929" max="7929" width="10.88671875" style="55" bestFit="1" customWidth="1"/>
    <col min="7930" max="7930" width="9.109375" style="55" bestFit="1" customWidth="1"/>
    <col min="7931" max="7932" width="11.5546875" style="55" customWidth="1"/>
    <col min="7933" max="7933" width="14.44140625" style="55" customWidth="1"/>
    <col min="7934" max="7934" width="8.5546875" style="55" customWidth="1"/>
    <col min="7935" max="7936" width="11.44140625" style="55" customWidth="1"/>
    <col min="7937" max="8175" width="11.44140625" style="55"/>
    <col min="8176" max="8176" width="43.109375" style="55" customWidth="1"/>
    <col min="8177" max="8177" width="10.5546875" style="55" customWidth="1"/>
    <col min="8178" max="8178" width="10" style="55" bestFit="1" customWidth="1"/>
    <col min="8179" max="8179" width="9.109375" style="55" customWidth="1"/>
    <col min="8180" max="8180" width="7" style="55" customWidth="1"/>
    <col min="8181" max="8181" width="10.5546875" style="55" bestFit="1" customWidth="1"/>
    <col min="8182" max="8182" width="11.88671875" style="55" bestFit="1" customWidth="1"/>
    <col min="8183" max="8184" width="11" style="55" bestFit="1" customWidth="1"/>
    <col min="8185" max="8185" width="10.88671875" style="55" bestFit="1" customWidth="1"/>
    <col min="8186" max="8186" width="9.109375" style="55" bestFit="1" customWidth="1"/>
    <col min="8187" max="8188" width="11.5546875" style="55" customWidth="1"/>
    <col min="8189" max="8189" width="14.44140625" style="55" customWidth="1"/>
    <col min="8190" max="8190" width="8.5546875" style="55" customWidth="1"/>
    <col min="8191" max="8192" width="11.44140625" style="55" customWidth="1"/>
    <col min="8193" max="8431" width="11.44140625" style="55"/>
    <col min="8432" max="8432" width="43.109375" style="55" customWidth="1"/>
    <col min="8433" max="8433" width="10.5546875" style="55" customWidth="1"/>
    <col min="8434" max="8434" width="10" style="55" bestFit="1" customWidth="1"/>
    <col min="8435" max="8435" width="9.109375" style="55" customWidth="1"/>
    <col min="8436" max="8436" width="7" style="55" customWidth="1"/>
    <col min="8437" max="8437" width="10.5546875" style="55" bestFit="1" customWidth="1"/>
    <col min="8438" max="8438" width="11.88671875" style="55" bestFit="1" customWidth="1"/>
    <col min="8439" max="8440" width="11" style="55" bestFit="1" customWidth="1"/>
    <col min="8441" max="8441" width="10.88671875" style="55" bestFit="1" customWidth="1"/>
    <col min="8442" max="8442" width="9.109375" style="55" bestFit="1" customWidth="1"/>
    <col min="8443" max="8444" width="11.5546875" style="55" customWidth="1"/>
    <col min="8445" max="8445" width="14.44140625" style="55" customWidth="1"/>
    <col min="8446" max="8446" width="8.5546875" style="55" customWidth="1"/>
    <col min="8447" max="8448" width="11.44140625" style="55" customWidth="1"/>
    <col min="8449" max="8687" width="11.44140625" style="55"/>
    <col min="8688" max="8688" width="43.109375" style="55" customWidth="1"/>
    <col min="8689" max="8689" width="10.5546875" style="55" customWidth="1"/>
    <col min="8690" max="8690" width="10" style="55" bestFit="1" customWidth="1"/>
    <col min="8691" max="8691" width="9.109375" style="55" customWidth="1"/>
    <col min="8692" max="8692" width="7" style="55" customWidth="1"/>
    <col min="8693" max="8693" width="10.5546875" style="55" bestFit="1" customWidth="1"/>
    <col min="8694" max="8694" width="11.88671875" style="55" bestFit="1" customWidth="1"/>
    <col min="8695" max="8696" width="11" style="55" bestFit="1" customWidth="1"/>
    <col min="8697" max="8697" width="10.88671875" style="55" bestFit="1" customWidth="1"/>
    <col min="8698" max="8698" width="9.109375" style="55" bestFit="1" customWidth="1"/>
    <col min="8699" max="8700" width="11.5546875" style="55" customWidth="1"/>
    <col min="8701" max="8701" width="14.44140625" style="55" customWidth="1"/>
    <col min="8702" max="8702" width="8.5546875" style="55" customWidth="1"/>
    <col min="8703" max="8704" width="11.44140625" style="55" customWidth="1"/>
    <col min="8705" max="8943" width="11.44140625" style="55"/>
    <col min="8944" max="8944" width="43.109375" style="55" customWidth="1"/>
    <col min="8945" max="8945" width="10.5546875" style="55" customWidth="1"/>
    <col min="8946" max="8946" width="10" style="55" bestFit="1" customWidth="1"/>
    <col min="8947" max="8947" width="9.109375" style="55" customWidth="1"/>
    <col min="8948" max="8948" width="7" style="55" customWidth="1"/>
    <col min="8949" max="8949" width="10.5546875" style="55" bestFit="1" customWidth="1"/>
    <col min="8950" max="8950" width="11.88671875" style="55" bestFit="1" customWidth="1"/>
    <col min="8951" max="8952" width="11" style="55" bestFit="1" customWidth="1"/>
    <col min="8953" max="8953" width="10.88671875" style="55" bestFit="1" customWidth="1"/>
    <col min="8954" max="8954" width="9.109375" style="55" bestFit="1" customWidth="1"/>
    <col min="8955" max="8956" width="11.5546875" style="55" customWidth="1"/>
    <col min="8957" max="8957" width="14.44140625" style="55" customWidth="1"/>
    <col min="8958" max="8958" width="8.5546875" style="55" customWidth="1"/>
    <col min="8959" max="8960" width="11.44140625" style="55" customWidth="1"/>
    <col min="8961" max="9199" width="11.44140625" style="55"/>
    <col min="9200" max="9200" width="43.109375" style="55" customWidth="1"/>
    <col min="9201" max="9201" width="10.5546875" style="55" customWidth="1"/>
    <col min="9202" max="9202" width="10" style="55" bestFit="1" customWidth="1"/>
    <col min="9203" max="9203" width="9.109375" style="55" customWidth="1"/>
    <col min="9204" max="9204" width="7" style="55" customWidth="1"/>
    <col min="9205" max="9205" width="10.5546875" style="55" bestFit="1" customWidth="1"/>
    <col min="9206" max="9206" width="11.88671875" style="55" bestFit="1" customWidth="1"/>
    <col min="9207" max="9208" width="11" style="55" bestFit="1" customWidth="1"/>
    <col min="9209" max="9209" width="10.88671875" style="55" bestFit="1" customWidth="1"/>
    <col min="9210" max="9210" width="9.109375" style="55" bestFit="1" customWidth="1"/>
    <col min="9211" max="9212" width="11.5546875" style="55" customWidth="1"/>
    <col min="9213" max="9213" width="14.44140625" style="55" customWidth="1"/>
    <col min="9214" max="9214" width="8.5546875" style="55" customWidth="1"/>
    <col min="9215" max="9216" width="11.44140625" style="55" customWidth="1"/>
    <col min="9217" max="9455" width="11.44140625" style="55"/>
    <col min="9456" max="9456" width="43.109375" style="55" customWidth="1"/>
    <col min="9457" max="9457" width="10.5546875" style="55" customWidth="1"/>
    <col min="9458" max="9458" width="10" style="55" bestFit="1" customWidth="1"/>
    <col min="9459" max="9459" width="9.109375" style="55" customWidth="1"/>
    <col min="9460" max="9460" width="7" style="55" customWidth="1"/>
    <col min="9461" max="9461" width="10.5546875" style="55" bestFit="1" customWidth="1"/>
    <col min="9462" max="9462" width="11.88671875" style="55" bestFit="1" customWidth="1"/>
    <col min="9463" max="9464" width="11" style="55" bestFit="1" customWidth="1"/>
    <col min="9465" max="9465" width="10.88671875" style="55" bestFit="1" customWidth="1"/>
    <col min="9466" max="9466" width="9.109375" style="55" bestFit="1" customWidth="1"/>
    <col min="9467" max="9468" width="11.5546875" style="55" customWidth="1"/>
    <col min="9469" max="9469" width="14.44140625" style="55" customWidth="1"/>
    <col min="9470" max="9470" width="8.5546875" style="55" customWidth="1"/>
    <col min="9471" max="9472" width="11.44140625" style="55" customWidth="1"/>
    <col min="9473" max="9711" width="11.44140625" style="55"/>
    <col min="9712" max="9712" width="43.109375" style="55" customWidth="1"/>
    <col min="9713" max="9713" width="10.5546875" style="55" customWidth="1"/>
    <col min="9714" max="9714" width="10" style="55" bestFit="1" customWidth="1"/>
    <col min="9715" max="9715" width="9.109375" style="55" customWidth="1"/>
    <col min="9716" max="9716" width="7" style="55" customWidth="1"/>
    <col min="9717" max="9717" width="10.5546875" style="55" bestFit="1" customWidth="1"/>
    <col min="9718" max="9718" width="11.88671875" style="55" bestFit="1" customWidth="1"/>
    <col min="9719" max="9720" width="11" style="55" bestFit="1" customWidth="1"/>
    <col min="9721" max="9721" width="10.88671875" style="55" bestFit="1" customWidth="1"/>
    <col min="9722" max="9722" width="9.109375" style="55" bestFit="1" customWidth="1"/>
    <col min="9723" max="9724" width="11.5546875" style="55" customWidth="1"/>
    <col min="9725" max="9725" width="14.44140625" style="55" customWidth="1"/>
    <col min="9726" max="9726" width="8.5546875" style="55" customWidth="1"/>
    <col min="9727" max="9728" width="11.44140625" style="55" customWidth="1"/>
    <col min="9729" max="9967" width="11.44140625" style="55"/>
    <col min="9968" max="9968" width="43.109375" style="55" customWidth="1"/>
    <col min="9969" max="9969" width="10.5546875" style="55" customWidth="1"/>
    <col min="9970" max="9970" width="10" style="55" bestFit="1" customWidth="1"/>
    <col min="9971" max="9971" width="9.109375" style="55" customWidth="1"/>
    <col min="9972" max="9972" width="7" style="55" customWidth="1"/>
    <col min="9973" max="9973" width="10.5546875" style="55" bestFit="1" customWidth="1"/>
    <col min="9974" max="9974" width="11.88671875" style="55" bestFit="1" customWidth="1"/>
    <col min="9975" max="9976" width="11" style="55" bestFit="1" customWidth="1"/>
    <col min="9977" max="9977" width="10.88671875" style="55" bestFit="1" customWidth="1"/>
    <col min="9978" max="9978" width="9.109375" style="55" bestFit="1" customWidth="1"/>
    <col min="9979" max="9980" width="11.5546875" style="55" customWidth="1"/>
    <col min="9981" max="9981" width="14.44140625" style="55" customWidth="1"/>
    <col min="9982" max="9982" width="8.5546875" style="55" customWidth="1"/>
    <col min="9983" max="9984" width="11.44140625" style="55" customWidth="1"/>
    <col min="9985" max="10223" width="11.44140625" style="55"/>
    <col min="10224" max="10224" width="43.109375" style="55" customWidth="1"/>
    <col min="10225" max="10225" width="10.5546875" style="55" customWidth="1"/>
    <col min="10226" max="10226" width="10" style="55" bestFit="1" customWidth="1"/>
    <col min="10227" max="10227" width="9.109375" style="55" customWidth="1"/>
    <col min="10228" max="10228" width="7" style="55" customWidth="1"/>
    <col min="10229" max="10229" width="10.5546875" style="55" bestFit="1" customWidth="1"/>
    <col min="10230" max="10230" width="11.88671875" style="55" bestFit="1" customWidth="1"/>
    <col min="10231" max="10232" width="11" style="55" bestFit="1" customWidth="1"/>
    <col min="10233" max="10233" width="10.88671875" style="55" bestFit="1" customWidth="1"/>
    <col min="10234" max="10234" width="9.109375" style="55" bestFit="1" customWidth="1"/>
    <col min="10235" max="10236" width="11.5546875" style="55" customWidth="1"/>
    <col min="10237" max="10237" width="14.44140625" style="55" customWidth="1"/>
    <col min="10238" max="10238" width="8.5546875" style="55" customWidth="1"/>
    <col min="10239" max="10240" width="11.44140625" style="55" customWidth="1"/>
    <col min="10241" max="10479" width="11.44140625" style="55"/>
    <col min="10480" max="10480" width="43.109375" style="55" customWidth="1"/>
    <col min="10481" max="10481" width="10.5546875" style="55" customWidth="1"/>
    <col min="10482" max="10482" width="10" style="55" bestFit="1" customWidth="1"/>
    <col min="10483" max="10483" width="9.109375" style="55" customWidth="1"/>
    <col min="10484" max="10484" width="7" style="55" customWidth="1"/>
    <col min="10485" max="10485" width="10.5546875" style="55" bestFit="1" customWidth="1"/>
    <col min="10486" max="10486" width="11.88671875" style="55" bestFit="1" customWidth="1"/>
    <col min="10487" max="10488" width="11" style="55" bestFit="1" customWidth="1"/>
    <col min="10489" max="10489" width="10.88671875" style="55" bestFit="1" customWidth="1"/>
    <col min="10490" max="10490" width="9.109375" style="55" bestFit="1" customWidth="1"/>
    <col min="10491" max="10492" width="11.5546875" style="55" customWidth="1"/>
    <col min="10493" max="10493" width="14.44140625" style="55" customWidth="1"/>
    <col min="10494" max="10494" width="8.5546875" style="55" customWidth="1"/>
    <col min="10495" max="10496" width="11.44140625" style="55" customWidth="1"/>
    <col min="10497" max="10735" width="11.44140625" style="55"/>
    <col min="10736" max="10736" width="43.109375" style="55" customWidth="1"/>
    <col min="10737" max="10737" width="10.5546875" style="55" customWidth="1"/>
    <col min="10738" max="10738" width="10" style="55" bestFit="1" customWidth="1"/>
    <col min="10739" max="10739" width="9.109375" style="55" customWidth="1"/>
    <col min="10740" max="10740" width="7" style="55" customWidth="1"/>
    <col min="10741" max="10741" width="10.5546875" style="55" bestFit="1" customWidth="1"/>
    <col min="10742" max="10742" width="11.88671875" style="55" bestFit="1" customWidth="1"/>
    <col min="10743" max="10744" width="11" style="55" bestFit="1" customWidth="1"/>
    <col min="10745" max="10745" width="10.88671875" style="55" bestFit="1" customWidth="1"/>
    <col min="10746" max="10746" width="9.109375" style="55" bestFit="1" customWidth="1"/>
    <col min="10747" max="10748" width="11.5546875" style="55" customWidth="1"/>
    <col min="10749" max="10749" width="14.44140625" style="55" customWidth="1"/>
    <col min="10750" max="10750" width="8.5546875" style="55" customWidth="1"/>
    <col min="10751" max="10752" width="11.44140625" style="55" customWidth="1"/>
    <col min="10753" max="10991" width="11.44140625" style="55"/>
    <col min="10992" max="10992" width="43.109375" style="55" customWidth="1"/>
    <col min="10993" max="10993" width="10.5546875" style="55" customWidth="1"/>
    <col min="10994" max="10994" width="10" style="55" bestFit="1" customWidth="1"/>
    <col min="10995" max="10995" width="9.109375" style="55" customWidth="1"/>
    <col min="10996" max="10996" width="7" style="55" customWidth="1"/>
    <col min="10997" max="10997" width="10.5546875" style="55" bestFit="1" customWidth="1"/>
    <col min="10998" max="10998" width="11.88671875" style="55" bestFit="1" customWidth="1"/>
    <col min="10999" max="11000" width="11" style="55" bestFit="1" customWidth="1"/>
    <col min="11001" max="11001" width="10.88671875" style="55" bestFit="1" customWidth="1"/>
    <col min="11002" max="11002" width="9.109375" style="55" bestFit="1" customWidth="1"/>
    <col min="11003" max="11004" width="11.5546875" style="55" customWidth="1"/>
    <col min="11005" max="11005" width="14.44140625" style="55" customWidth="1"/>
    <col min="11006" max="11006" width="8.5546875" style="55" customWidth="1"/>
    <col min="11007" max="11008" width="11.44140625" style="55" customWidth="1"/>
    <col min="11009" max="11247" width="11.44140625" style="55"/>
    <col min="11248" max="11248" width="43.109375" style="55" customWidth="1"/>
    <col min="11249" max="11249" width="10.5546875" style="55" customWidth="1"/>
    <col min="11250" max="11250" width="10" style="55" bestFit="1" customWidth="1"/>
    <col min="11251" max="11251" width="9.109375" style="55" customWidth="1"/>
    <col min="11252" max="11252" width="7" style="55" customWidth="1"/>
    <col min="11253" max="11253" width="10.5546875" style="55" bestFit="1" customWidth="1"/>
    <col min="11254" max="11254" width="11.88671875" style="55" bestFit="1" customWidth="1"/>
    <col min="11255" max="11256" width="11" style="55" bestFit="1" customWidth="1"/>
    <col min="11257" max="11257" width="10.88671875" style="55" bestFit="1" customWidth="1"/>
    <col min="11258" max="11258" width="9.109375" style="55" bestFit="1" customWidth="1"/>
    <col min="11259" max="11260" width="11.5546875" style="55" customWidth="1"/>
    <col min="11261" max="11261" width="14.44140625" style="55" customWidth="1"/>
    <col min="11262" max="11262" width="8.5546875" style="55" customWidth="1"/>
    <col min="11263" max="11264" width="11.44140625" style="55" customWidth="1"/>
    <col min="11265" max="11503" width="11.44140625" style="55"/>
    <col min="11504" max="11504" width="43.109375" style="55" customWidth="1"/>
    <col min="11505" max="11505" width="10.5546875" style="55" customWidth="1"/>
    <col min="11506" max="11506" width="10" style="55" bestFit="1" customWidth="1"/>
    <col min="11507" max="11507" width="9.109375" style="55" customWidth="1"/>
    <col min="11508" max="11508" width="7" style="55" customWidth="1"/>
    <col min="11509" max="11509" width="10.5546875" style="55" bestFit="1" customWidth="1"/>
    <col min="11510" max="11510" width="11.88671875" style="55" bestFit="1" customWidth="1"/>
    <col min="11511" max="11512" width="11" style="55" bestFit="1" customWidth="1"/>
    <col min="11513" max="11513" width="10.88671875" style="55" bestFit="1" customWidth="1"/>
    <col min="11514" max="11514" width="9.109375" style="55" bestFit="1" customWidth="1"/>
    <col min="11515" max="11516" width="11.5546875" style="55" customWidth="1"/>
    <col min="11517" max="11517" width="14.44140625" style="55" customWidth="1"/>
    <col min="11518" max="11518" width="8.5546875" style="55" customWidth="1"/>
    <col min="11519" max="11520" width="11.44140625" style="55" customWidth="1"/>
    <col min="11521" max="11759" width="11.44140625" style="55"/>
    <col min="11760" max="11760" width="43.109375" style="55" customWidth="1"/>
    <col min="11761" max="11761" width="10.5546875" style="55" customWidth="1"/>
    <col min="11762" max="11762" width="10" style="55" bestFit="1" customWidth="1"/>
    <col min="11763" max="11763" width="9.109375" style="55" customWidth="1"/>
    <col min="11764" max="11764" width="7" style="55" customWidth="1"/>
    <col min="11765" max="11765" width="10.5546875" style="55" bestFit="1" customWidth="1"/>
    <col min="11766" max="11766" width="11.88671875" style="55" bestFit="1" customWidth="1"/>
    <col min="11767" max="11768" width="11" style="55" bestFit="1" customWidth="1"/>
    <col min="11769" max="11769" width="10.88671875" style="55" bestFit="1" customWidth="1"/>
    <col min="11770" max="11770" width="9.109375" style="55" bestFit="1" customWidth="1"/>
    <col min="11771" max="11772" width="11.5546875" style="55" customWidth="1"/>
    <col min="11773" max="11773" width="14.44140625" style="55" customWidth="1"/>
    <col min="11774" max="11774" width="8.5546875" style="55" customWidth="1"/>
    <col min="11775" max="11776" width="11.44140625" style="55" customWidth="1"/>
    <col min="11777" max="12015" width="11.44140625" style="55"/>
    <col min="12016" max="12016" width="43.109375" style="55" customWidth="1"/>
    <col min="12017" max="12017" width="10.5546875" style="55" customWidth="1"/>
    <col min="12018" max="12018" width="10" style="55" bestFit="1" customWidth="1"/>
    <col min="12019" max="12019" width="9.109375" style="55" customWidth="1"/>
    <col min="12020" max="12020" width="7" style="55" customWidth="1"/>
    <col min="12021" max="12021" width="10.5546875" style="55" bestFit="1" customWidth="1"/>
    <col min="12022" max="12022" width="11.88671875" style="55" bestFit="1" customWidth="1"/>
    <col min="12023" max="12024" width="11" style="55" bestFit="1" customWidth="1"/>
    <col min="12025" max="12025" width="10.88671875" style="55" bestFit="1" customWidth="1"/>
    <col min="12026" max="12026" width="9.109375" style="55" bestFit="1" customWidth="1"/>
    <col min="12027" max="12028" width="11.5546875" style="55" customWidth="1"/>
    <col min="12029" max="12029" width="14.44140625" style="55" customWidth="1"/>
    <col min="12030" max="12030" width="8.5546875" style="55" customWidth="1"/>
    <col min="12031" max="12032" width="11.44140625" style="55" customWidth="1"/>
    <col min="12033" max="12271" width="11.44140625" style="55"/>
    <col min="12272" max="12272" width="43.109375" style="55" customWidth="1"/>
    <col min="12273" max="12273" width="10.5546875" style="55" customWidth="1"/>
    <col min="12274" max="12274" width="10" style="55" bestFit="1" customWidth="1"/>
    <col min="12275" max="12275" width="9.109375" style="55" customWidth="1"/>
    <col min="12276" max="12276" width="7" style="55" customWidth="1"/>
    <col min="12277" max="12277" width="10.5546875" style="55" bestFit="1" customWidth="1"/>
    <col min="12278" max="12278" width="11.88671875" style="55" bestFit="1" customWidth="1"/>
    <col min="12279" max="12280" width="11" style="55" bestFit="1" customWidth="1"/>
    <col min="12281" max="12281" width="10.88671875" style="55" bestFit="1" customWidth="1"/>
    <col min="12282" max="12282" width="9.109375" style="55" bestFit="1" customWidth="1"/>
    <col min="12283" max="12284" width="11.5546875" style="55" customWidth="1"/>
    <col min="12285" max="12285" width="14.44140625" style="55" customWidth="1"/>
    <col min="12286" max="12286" width="8.5546875" style="55" customWidth="1"/>
    <col min="12287" max="12288" width="11.44140625" style="55" customWidth="1"/>
    <col min="12289" max="12527" width="11.44140625" style="55"/>
    <col min="12528" max="12528" width="43.109375" style="55" customWidth="1"/>
    <col min="12529" max="12529" width="10.5546875" style="55" customWidth="1"/>
    <col min="12530" max="12530" width="10" style="55" bestFit="1" customWidth="1"/>
    <col min="12531" max="12531" width="9.109375" style="55" customWidth="1"/>
    <col min="12532" max="12532" width="7" style="55" customWidth="1"/>
    <col min="12533" max="12533" width="10.5546875" style="55" bestFit="1" customWidth="1"/>
    <col min="12534" max="12534" width="11.88671875" style="55" bestFit="1" customWidth="1"/>
    <col min="12535" max="12536" width="11" style="55" bestFit="1" customWidth="1"/>
    <col min="12537" max="12537" width="10.88671875" style="55" bestFit="1" customWidth="1"/>
    <col min="12538" max="12538" width="9.109375" style="55" bestFit="1" customWidth="1"/>
    <col min="12539" max="12540" width="11.5546875" style="55" customWidth="1"/>
    <col min="12541" max="12541" width="14.44140625" style="55" customWidth="1"/>
    <col min="12542" max="12542" width="8.5546875" style="55" customWidth="1"/>
    <col min="12543" max="12544" width="11.44140625" style="55" customWidth="1"/>
    <col min="12545" max="12783" width="11.44140625" style="55"/>
    <col min="12784" max="12784" width="43.109375" style="55" customWidth="1"/>
    <col min="12785" max="12785" width="10.5546875" style="55" customWidth="1"/>
    <col min="12786" max="12786" width="10" style="55" bestFit="1" customWidth="1"/>
    <col min="12787" max="12787" width="9.109375" style="55" customWidth="1"/>
    <col min="12788" max="12788" width="7" style="55" customWidth="1"/>
    <col min="12789" max="12789" width="10.5546875" style="55" bestFit="1" customWidth="1"/>
    <col min="12790" max="12790" width="11.88671875" style="55" bestFit="1" customWidth="1"/>
    <col min="12791" max="12792" width="11" style="55" bestFit="1" customWidth="1"/>
    <col min="12793" max="12793" width="10.88671875" style="55" bestFit="1" customWidth="1"/>
    <col min="12794" max="12794" width="9.109375" style="55" bestFit="1" customWidth="1"/>
    <col min="12795" max="12796" width="11.5546875" style="55" customWidth="1"/>
    <col min="12797" max="12797" width="14.44140625" style="55" customWidth="1"/>
    <col min="12798" max="12798" width="8.5546875" style="55" customWidth="1"/>
    <col min="12799" max="12800" width="11.44140625" style="55" customWidth="1"/>
    <col min="12801" max="13039" width="11.44140625" style="55"/>
    <col min="13040" max="13040" width="43.109375" style="55" customWidth="1"/>
    <col min="13041" max="13041" width="10.5546875" style="55" customWidth="1"/>
    <col min="13042" max="13042" width="10" style="55" bestFit="1" customWidth="1"/>
    <col min="13043" max="13043" width="9.109375" style="55" customWidth="1"/>
    <col min="13044" max="13044" width="7" style="55" customWidth="1"/>
    <col min="13045" max="13045" width="10.5546875" style="55" bestFit="1" customWidth="1"/>
    <col min="13046" max="13046" width="11.88671875" style="55" bestFit="1" customWidth="1"/>
    <col min="13047" max="13048" width="11" style="55" bestFit="1" customWidth="1"/>
    <col min="13049" max="13049" width="10.88671875" style="55" bestFit="1" customWidth="1"/>
    <col min="13050" max="13050" width="9.109375" style="55" bestFit="1" customWidth="1"/>
    <col min="13051" max="13052" width="11.5546875" style="55" customWidth="1"/>
    <col min="13053" max="13053" width="14.44140625" style="55" customWidth="1"/>
    <col min="13054" max="13054" width="8.5546875" style="55" customWidth="1"/>
    <col min="13055" max="13056" width="11.44140625" style="55" customWidth="1"/>
    <col min="13057" max="13295" width="11.44140625" style="55"/>
    <col min="13296" max="13296" width="43.109375" style="55" customWidth="1"/>
    <col min="13297" max="13297" width="10.5546875" style="55" customWidth="1"/>
    <col min="13298" max="13298" width="10" style="55" bestFit="1" customWidth="1"/>
    <col min="13299" max="13299" width="9.109375" style="55" customWidth="1"/>
    <col min="13300" max="13300" width="7" style="55" customWidth="1"/>
    <col min="13301" max="13301" width="10.5546875" style="55" bestFit="1" customWidth="1"/>
    <col min="13302" max="13302" width="11.88671875" style="55" bestFit="1" customWidth="1"/>
    <col min="13303" max="13304" width="11" style="55" bestFit="1" customWidth="1"/>
    <col min="13305" max="13305" width="10.88671875" style="55" bestFit="1" customWidth="1"/>
    <col min="13306" max="13306" width="9.109375" style="55" bestFit="1" customWidth="1"/>
    <col min="13307" max="13308" width="11.5546875" style="55" customWidth="1"/>
    <col min="13309" max="13309" width="14.44140625" style="55" customWidth="1"/>
    <col min="13310" max="13310" width="8.5546875" style="55" customWidth="1"/>
    <col min="13311" max="13312" width="11.44140625" style="55" customWidth="1"/>
    <col min="13313" max="13551" width="11.44140625" style="55"/>
    <col min="13552" max="13552" width="43.109375" style="55" customWidth="1"/>
    <col min="13553" max="13553" width="10.5546875" style="55" customWidth="1"/>
    <col min="13554" max="13554" width="10" style="55" bestFit="1" customWidth="1"/>
    <col min="13555" max="13555" width="9.109375" style="55" customWidth="1"/>
    <col min="13556" max="13556" width="7" style="55" customWidth="1"/>
    <col min="13557" max="13557" width="10.5546875" style="55" bestFit="1" customWidth="1"/>
    <col min="13558" max="13558" width="11.88671875" style="55" bestFit="1" customWidth="1"/>
    <col min="13559" max="13560" width="11" style="55" bestFit="1" customWidth="1"/>
    <col min="13561" max="13561" width="10.88671875" style="55" bestFit="1" customWidth="1"/>
    <col min="13562" max="13562" width="9.109375" style="55" bestFit="1" customWidth="1"/>
    <col min="13563" max="13564" width="11.5546875" style="55" customWidth="1"/>
    <col min="13565" max="13565" width="14.44140625" style="55" customWidth="1"/>
    <col min="13566" max="13566" width="8.5546875" style="55" customWidth="1"/>
    <col min="13567" max="13568" width="11.44140625" style="55" customWidth="1"/>
    <col min="13569" max="13807" width="11.44140625" style="55"/>
    <col min="13808" max="13808" width="43.109375" style="55" customWidth="1"/>
    <col min="13809" max="13809" width="10.5546875" style="55" customWidth="1"/>
    <col min="13810" max="13810" width="10" style="55" bestFit="1" customWidth="1"/>
    <col min="13811" max="13811" width="9.109375" style="55" customWidth="1"/>
    <col min="13812" max="13812" width="7" style="55" customWidth="1"/>
    <col min="13813" max="13813" width="10.5546875" style="55" bestFit="1" customWidth="1"/>
    <col min="13814" max="13814" width="11.88671875" style="55" bestFit="1" customWidth="1"/>
    <col min="13815" max="13816" width="11" style="55" bestFit="1" customWidth="1"/>
    <col min="13817" max="13817" width="10.88671875" style="55" bestFit="1" customWidth="1"/>
    <col min="13818" max="13818" width="9.109375" style="55" bestFit="1" customWidth="1"/>
    <col min="13819" max="13820" width="11.5546875" style="55" customWidth="1"/>
    <col min="13821" max="13821" width="14.44140625" style="55" customWidth="1"/>
    <col min="13822" max="13822" width="8.5546875" style="55" customWidth="1"/>
    <col min="13823" max="13824" width="11.44140625" style="55" customWidth="1"/>
    <col min="13825" max="14063" width="11.44140625" style="55"/>
    <col min="14064" max="14064" width="43.109375" style="55" customWidth="1"/>
    <col min="14065" max="14065" width="10.5546875" style="55" customWidth="1"/>
    <col min="14066" max="14066" width="10" style="55" bestFit="1" customWidth="1"/>
    <col min="14067" max="14067" width="9.109375" style="55" customWidth="1"/>
    <col min="14068" max="14068" width="7" style="55" customWidth="1"/>
    <col min="14069" max="14069" width="10.5546875" style="55" bestFit="1" customWidth="1"/>
    <col min="14070" max="14070" width="11.88671875" style="55" bestFit="1" customWidth="1"/>
    <col min="14071" max="14072" width="11" style="55" bestFit="1" customWidth="1"/>
    <col min="14073" max="14073" width="10.88671875" style="55" bestFit="1" customWidth="1"/>
    <col min="14074" max="14074" width="9.109375" style="55" bestFit="1" customWidth="1"/>
    <col min="14075" max="14076" width="11.5546875" style="55" customWidth="1"/>
    <col min="14077" max="14077" width="14.44140625" style="55" customWidth="1"/>
    <col min="14078" max="14078" width="8.5546875" style="55" customWidth="1"/>
    <col min="14079" max="14080" width="11.44140625" style="55" customWidth="1"/>
    <col min="14081" max="14319" width="11.44140625" style="55"/>
    <col min="14320" max="14320" width="43.109375" style="55" customWidth="1"/>
    <col min="14321" max="14321" width="10.5546875" style="55" customWidth="1"/>
    <col min="14322" max="14322" width="10" style="55" bestFit="1" customWidth="1"/>
    <col min="14323" max="14323" width="9.109375" style="55" customWidth="1"/>
    <col min="14324" max="14324" width="7" style="55" customWidth="1"/>
    <col min="14325" max="14325" width="10.5546875" style="55" bestFit="1" customWidth="1"/>
    <col min="14326" max="14326" width="11.88671875" style="55" bestFit="1" customWidth="1"/>
    <col min="14327" max="14328" width="11" style="55" bestFit="1" customWidth="1"/>
    <col min="14329" max="14329" width="10.88671875" style="55" bestFit="1" customWidth="1"/>
    <col min="14330" max="14330" width="9.109375" style="55" bestFit="1" customWidth="1"/>
    <col min="14331" max="14332" width="11.5546875" style="55" customWidth="1"/>
    <col min="14333" max="14333" width="14.44140625" style="55" customWidth="1"/>
    <col min="14334" max="14334" width="8.5546875" style="55" customWidth="1"/>
    <col min="14335" max="14336" width="11.44140625" style="55" customWidth="1"/>
    <col min="14337" max="14575" width="11.44140625" style="55"/>
    <col min="14576" max="14576" width="43.109375" style="55" customWidth="1"/>
    <col min="14577" max="14577" width="10.5546875" style="55" customWidth="1"/>
    <col min="14578" max="14578" width="10" style="55" bestFit="1" customWidth="1"/>
    <col min="14579" max="14579" width="9.109375" style="55" customWidth="1"/>
    <col min="14580" max="14580" width="7" style="55" customWidth="1"/>
    <col min="14581" max="14581" width="10.5546875" style="55" bestFit="1" customWidth="1"/>
    <col min="14582" max="14582" width="11.88671875" style="55" bestFit="1" customWidth="1"/>
    <col min="14583" max="14584" width="11" style="55" bestFit="1" customWidth="1"/>
    <col min="14585" max="14585" width="10.88671875" style="55" bestFit="1" customWidth="1"/>
    <col min="14586" max="14586" width="9.109375" style="55" bestFit="1" customWidth="1"/>
    <col min="14587" max="14588" width="11.5546875" style="55" customWidth="1"/>
    <col min="14589" max="14589" width="14.44140625" style="55" customWidth="1"/>
    <col min="14590" max="14590" width="8.5546875" style="55" customWidth="1"/>
    <col min="14591" max="14592" width="11.44140625" style="55" customWidth="1"/>
    <col min="14593" max="14831" width="11.44140625" style="55"/>
    <col min="14832" max="14832" width="43.109375" style="55" customWidth="1"/>
    <col min="14833" max="14833" width="10.5546875" style="55" customWidth="1"/>
    <col min="14834" max="14834" width="10" style="55" bestFit="1" customWidth="1"/>
    <col min="14835" max="14835" width="9.109375" style="55" customWidth="1"/>
    <col min="14836" max="14836" width="7" style="55" customWidth="1"/>
    <col min="14837" max="14837" width="10.5546875" style="55" bestFit="1" customWidth="1"/>
    <col min="14838" max="14838" width="11.88671875" style="55" bestFit="1" customWidth="1"/>
    <col min="14839" max="14840" width="11" style="55" bestFit="1" customWidth="1"/>
    <col min="14841" max="14841" width="10.88671875" style="55" bestFit="1" customWidth="1"/>
    <col min="14842" max="14842" width="9.109375" style="55" bestFit="1" customWidth="1"/>
    <col min="14843" max="14844" width="11.5546875" style="55" customWidth="1"/>
    <col min="14845" max="14845" width="14.44140625" style="55" customWidth="1"/>
    <col min="14846" max="14846" width="8.5546875" style="55" customWidth="1"/>
    <col min="14847" max="14848" width="11.44140625" style="55" customWidth="1"/>
    <col min="14849" max="15087" width="11.44140625" style="55"/>
    <col min="15088" max="15088" width="43.109375" style="55" customWidth="1"/>
    <col min="15089" max="15089" width="10.5546875" style="55" customWidth="1"/>
    <col min="15090" max="15090" width="10" style="55" bestFit="1" customWidth="1"/>
    <col min="15091" max="15091" width="9.109375" style="55" customWidth="1"/>
    <col min="15092" max="15092" width="7" style="55" customWidth="1"/>
    <col min="15093" max="15093" width="10.5546875" style="55" bestFit="1" customWidth="1"/>
    <col min="15094" max="15094" width="11.88671875" style="55" bestFit="1" customWidth="1"/>
    <col min="15095" max="15096" width="11" style="55" bestFit="1" customWidth="1"/>
    <col min="15097" max="15097" width="10.88671875" style="55" bestFit="1" customWidth="1"/>
    <col min="15098" max="15098" width="9.109375" style="55" bestFit="1" customWidth="1"/>
    <col min="15099" max="15100" width="11.5546875" style="55" customWidth="1"/>
    <col min="15101" max="15101" width="14.44140625" style="55" customWidth="1"/>
    <col min="15102" max="15102" width="8.5546875" style="55" customWidth="1"/>
    <col min="15103" max="15104" width="11.44140625" style="55" customWidth="1"/>
    <col min="15105" max="15343" width="11.44140625" style="55"/>
    <col min="15344" max="15344" width="43.109375" style="55" customWidth="1"/>
    <col min="15345" max="15345" width="10.5546875" style="55" customWidth="1"/>
    <col min="15346" max="15346" width="10" style="55" bestFit="1" customWidth="1"/>
    <col min="15347" max="15347" width="9.109375" style="55" customWidth="1"/>
    <col min="15348" max="15348" width="7" style="55" customWidth="1"/>
    <col min="15349" max="15349" width="10.5546875" style="55" bestFit="1" customWidth="1"/>
    <col min="15350" max="15350" width="11.88671875" style="55" bestFit="1" customWidth="1"/>
    <col min="15351" max="15352" width="11" style="55" bestFit="1" customWidth="1"/>
    <col min="15353" max="15353" width="10.88671875" style="55" bestFit="1" customWidth="1"/>
    <col min="15354" max="15354" width="9.109375" style="55" bestFit="1" customWidth="1"/>
    <col min="15355" max="15356" width="11.5546875" style="55" customWidth="1"/>
    <col min="15357" max="15357" width="14.44140625" style="55" customWidth="1"/>
    <col min="15358" max="15358" width="8.5546875" style="55" customWidth="1"/>
    <col min="15359" max="15360" width="11.44140625" style="55" customWidth="1"/>
    <col min="15361" max="15599" width="11.44140625" style="55"/>
    <col min="15600" max="15600" width="43.109375" style="55" customWidth="1"/>
    <col min="15601" max="15601" width="10.5546875" style="55" customWidth="1"/>
    <col min="15602" max="15602" width="10" style="55" bestFit="1" customWidth="1"/>
    <col min="15603" max="15603" width="9.109375" style="55" customWidth="1"/>
    <col min="15604" max="15604" width="7" style="55" customWidth="1"/>
    <col min="15605" max="15605" width="10.5546875" style="55" bestFit="1" customWidth="1"/>
    <col min="15606" max="15606" width="11.88671875" style="55" bestFit="1" customWidth="1"/>
    <col min="15607" max="15608" width="11" style="55" bestFit="1" customWidth="1"/>
    <col min="15609" max="15609" width="10.88671875" style="55" bestFit="1" customWidth="1"/>
    <col min="15610" max="15610" width="9.109375" style="55" bestFit="1" customWidth="1"/>
    <col min="15611" max="15612" width="11.5546875" style="55" customWidth="1"/>
    <col min="15613" max="15613" width="14.44140625" style="55" customWidth="1"/>
    <col min="15614" max="15614" width="8.5546875" style="55" customWidth="1"/>
    <col min="15615" max="15616" width="11.44140625" style="55" customWidth="1"/>
    <col min="15617" max="15855" width="11.44140625" style="55"/>
    <col min="15856" max="15856" width="43.109375" style="55" customWidth="1"/>
    <col min="15857" max="15857" width="10.5546875" style="55" customWidth="1"/>
    <col min="15858" max="15858" width="10" style="55" bestFit="1" customWidth="1"/>
    <col min="15859" max="15859" width="9.109375" style="55" customWidth="1"/>
    <col min="15860" max="15860" width="7" style="55" customWidth="1"/>
    <col min="15861" max="15861" width="10.5546875" style="55" bestFit="1" customWidth="1"/>
    <col min="15862" max="15862" width="11.88671875" style="55" bestFit="1" customWidth="1"/>
    <col min="15863" max="15864" width="11" style="55" bestFit="1" customWidth="1"/>
    <col min="15865" max="15865" width="10.88671875" style="55" bestFit="1" customWidth="1"/>
    <col min="15866" max="15866" width="9.109375" style="55" bestFit="1" customWidth="1"/>
    <col min="15867" max="15868" width="11.5546875" style="55" customWidth="1"/>
    <col min="15869" max="15869" width="14.44140625" style="55" customWidth="1"/>
    <col min="15870" max="15870" width="8.5546875" style="55" customWidth="1"/>
    <col min="15871" max="15872" width="11.44140625" style="55" customWidth="1"/>
    <col min="15873" max="16111" width="11.44140625" style="55"/>
    <col min="16112" max="16112" width="43.109375" style="55" customWidth="1"/>
    <col min="16113" max="16113" width="10.5546875" style="55" customWidth="1"/>
    <col min="16114" max="16114" width="10" style="55" bestFit="1" customWidth="1"/>
    <col min="16115" max="16115" width="9.109375" style="55" customWidth="1"/>
    <col min="16116" max="16116" width="7" style="55" customWidth="1"/>
    <col min="16117" max="16117" width="10.5546875" style="55" bestFit="1" customWidth="1"/>
    <col min="16118" max="16118" width="11.88671875" style="55" bestFit="1" customWidth="1"/>
    <col min="16119" max="16120" width="11" style="55" bestFit="1" customWidth="1"/>
    <col min="16121" max="16121" width="10.88671875" style="55" bestFit="1" customWidth="1"/>
    <col min="16122" max="16122" width="9.109375" style="55" bestFit="1" customWidth="1"/>
    <col min="16123" max="16124" width="11.5546875" style="55" customWidth="1"/>
    <col min="16125" max="16125" width="14.44140625" style="55" customWidth="1"/>
    <col min="16126" max="16126" width="8.5546875" style="55" customWidth="1"/>
    <col min="16127" max="16128" width="11.44140625" style="55" customWidth="1"/>
    <col min="16129" max="16384" width="11.44140625" style="55"/>
  </cols>
  <sheetData>
    <row r="1" spans="1:8" s="52" customFormat="1" ht="13.8" x14ac:dyDescent="0.25">
      <c r="A1" s="18" t="str">
        <f>Tabelloversikt!A7</f>
        <v>Tabell 2b Inntekter i 2023 etter finansieringstype. Mill. kr</v>
      </c>
      <c r="B1" s="51"/>
      <c r="C1" s="51"/>
      <c r="D1" s="51"/>
      <c r="E1" s="51"/>
      <c r="F1" s="17"/>
    </row>
    <row r="2" spans="1:8" ht="13.2" x14ac:dyDescent="0.25">
      <c r="B2" s="56"/>
      <c r="C2" s="56"/>
      <c r="D2" s="56"/>
      <c r="E2" s="56"/>
      <c r="F2" s="57"/>
    </row>
    <row r="3" spans="1:8" s="429" customFormat="1" ht="11.25" customHeight="1" x14ac:dyDescent="0.25">
      <c r="A3" s="424"/>
      <c r="B3" s="467" t="s">
        <v>215</v>
      </c>
      <c r="C3" s="467"/>
      <c r="D3" s="467"/>
      <c r="E3" s="467"/>
      <c r="F3" s="467"/>
    </row>
    <row r="4" spans="1:8" s="432" customFormat="1" ht="30.6" x14ac:dyDescent="0.2">
      <c r="A4" s="430"/>
      <c r="B4" s="163" t="s">
        <v>186</v>
      </c>
      <c r="C4" s="163" t="s">
        <v>217</v>
      </c>
      <c r="D4" s="163" t="s">
        <v>242</v>
      </c>
      <c r="E4" s="163" t="s">
        <v>202</v>
      </c>
      <c r="F4" s="431" t="s">
        <v>30</v>
      </c>
    </row>
    <row r="5" spans="1:8" ht="11.25" customHeight="1" x14ac:dyDescent="0.2">
      <c r="A5" s="136"/>
      <c r="B5" s="137" t="s">
        <v>2</v>
      </c>
      <c r="C5" s="137" t="s">
        <v>2</v>
      </c>
      <c r="D5" s="137" t="s">
        <v>2</v>
      </c>
      <c r="E5" s="137" t="s">
        <v>2</v>
      </c>
      <c r="F5" s="137" t="s">
        <v>2</v>
      </c>
    </row>
    <row r="6" spans="1:8" ht="11.25" customHeight="1" x14ac:dyDescent="0.2">
      <c r="A6" s="71" t="s">
        <v>5</v>
      </c>
      <c r="B6" s="72">
        <v>261949</v>
      </c>
      <c r="C6" s="72">
        <v>0</v>
      </c>
      <c r="D6" s="72">
        <v>32003</v>
      </c>
      <c r="E6" s="72">
        <v>4644</v>
      </c>
      <c r="F6" s="433">
        <v>298596</v>
      </c>
      <c r="G6" s="434"/>
      <c r="H6" s="85"/>
    </row>
    <row r="7" spans="1:8" ht="11.25" customHeight="1" x14ac:dyDescent="0.2">
      <c r="A7" s="71" t="s">
        <v>108</v>
      </c>
      <c r="B7" s="72">
        <v>229954</v>
      </c>
      <c r="C7" s="72">
        <v>0</v>
      </c>
      <c r="D7" s="72">
        <v>75372</v>
      </c>
      <c r="E7" s="72">
        <v>0</v>
      </c>
      <c r="F7" s="433">
        <v>305326</v>
      </c>
      <c r="H7" s="85"/>
    </row>
    <row r="8" spans="1:8" ht="11.25" customHeight="1" x14ac:dyDescent="0.2">
      <c r="A8" s="71" t="s">
        <v>4</v>
      </c>
      <c r="B8" s="72">
        <v>313651</v>
      </c>
      <c r="C8" s="72">
        <v>0</v>
      </c>
      <c r="D8" s="72">
        <v>26487</v>
      </c>
      <c r="E8" s="72">
        <v>0</v>
      </c>
      <c r="F8" s="433">
        <v>340138</v>
      </c>
      <c r="H8" s="85"/>
    </row>
    <row r="9" spans="1:8" ht="11.25" customHeight="1" x14ac:dyDescent="0.2">
      <c r="A9" s="71" t="s">
        <v>6</v>
      </c>
      <c r="B9" s="72">
        <v>515892</v>
      </c>
      <c r="C9" s="72">
        <v>0</v>
      </c>
      <c r="D9" s="72">
        <v>228369</v>
      </c>
      <c r="E9" s="72">
        <v>0</v>
      </c>
      <c r="F9" s="433">
        <v>744261</v>
      </c>
      <c r="H9" s="85"/>
    </row>
    <row r="10" spans="1:8" ht="10.8" x14ac:dyDescent="0.2">
      <c r="A10" s="78" t="s">
        <v>107</v>
      </c>
      <c r="B10" s="79">
        <f>SUM(B6:B9)</f>
        <v>1321446</v>
      </c>
      <c r="C10" s="79">
        <f t="shared" ref="C10:F10" si="0">SUM(C6:C9)</f>
        <v>0</v>
      </c>
      <c r="D10" s="79">
        <f t="shared" si="0"/>
        <v>362231</v>
      </c>
      <c r="E10" s="79">
        <f t="shared" si="0"/>
        <v>4644</v>
      </c>
      <c r="F10" s="436">
        <f t="shared" si="0"/>
        <v>1688321</v>
      </c>
      <c r="H10" s="85"/>
    </row>
    <row r="11" spans="1:8" s="92" customFormat="1" ht="10.8" x14ac:dyDescent="0.2">
      <c r="A11" s="86"/>
      <c r="B11" s="87"/>
      <c r="C11" s="87"/>
      <c r="D11" s="87"/>
      <c r="E11" s="87"/>
      <c r="F11" s="448"/>
    </row>
    <row r="12" spans="1:8" s="92" customFormat="1" ht="10.8" x14ac:dyDescent="0.2">
      <c r="A12" s="78" t="s">
        <v>170</v>
      </c>
      <c r="B12" s="79"/>
      <c r="C12" s="79"/>
      <c r="D12" s="79"/>
      <c r="E12" s="79"/>
      <c r="F12" s="436"/>
    </row>
    <row r="13" spans="1:8" ht="10.8" x14ac:dyDescent="0.2">
      <c r="A13" s="71" t="s">
        <v>4</v>
      </c>
      <c r="B13" s="72">
        <v>1447</v>
      </c>
      <c r="C13" s="72">
        <v>0</v>
      </c>
      <c r="D13" s="72">
        <v>1447</v>
      </c>
      <c r="E13" s="72">
        <v>25069</v>
      </c>
      <c r="F13" s="433">
        <v>26516</v>
      </c>
    </row>
    <row r="14" spans="1:8" ht="10.8" x14ac:dyDescent="0.2">
      <c r="A14" s="71" t="s">
        <v>6</v>
      </c>
      <c r="B14" s="72">
        <v>286035</v>
      </c>
      <c r="C14" s="72">
        <v>0</v>
      </c>
      <c r="D14" s="72">
        <v>0</v>
      </c>
      <c r="E14" s="72">
        <v>0</v>
      </c>
      <c r="F14" s="433">
        <v>286035</v>
      </c>
    </row>
    <row r="15" spans="1:8" ht="11.25" customHeight="1" x14ac:dyDescent="0.2">
      <c r="A15" s="78" t="s">
        <v>30</v>
      </c>
      <c r="B15" s="79">
        <f>SUM(B13:B14)</f>
        <v>287482</v>
      </c>
      <c r="C15" s="79">
        <f t="shared" ref="C15:F15" si="1">SUM(C13:C14)</f>
        <v>0</v>
      </c>
      <c r="D15" s="79">
        <f t="shared" si="1"/>
        <v>1447</v>
      </c>
      <c r="E15" s="79">
        <f t="shared" si="1"/>
        <v>25069</v>
      </c>
      <c r="F15" s="436">
        <f t="shared" si="1"/>
        <v>312551</v>
      </c>
    </row>
    <row r="16" spans="1:8" s="92" customFormat="1" ht="11.25" customHeight="1" x14ac:dyDescent="0.2">
      <c r="A16" s="93"/>
      <c r="B16" s="94"/>
      <c r="C16" s="94"/>
      <c r="D16" s="94"/>
      <c r="E16" s="94"/>
      <c r="F16" s="449"/>
    </row>
    <row r="17" spans="1:6" ht="11.25" customHeight="1" x14ac:dyDescent="0.2">
      <c r="A17" s="78" t="s">
        <v>11</v>
      </c>
      <c r="B17" s="79">
        <f>B10+B15</f>
        <v>1608928</v>
      </c>
      <c r="C17" s="79">
        <f t="shared" ref="C17:E17" si="2">C10+C15</f>
        <v>0</v>
      </c>
      <c r="D17" s="79">
        <f t="shared" si="2"/>
        <v>363678</v>
      </c>
      <c r="E17" s="79">
        <f t="shared" si="2"/>
        <v>29713</v>
      </c>
      <c r="F17" s="436">
        <f>F10+F15</f>
        <v>2000872</v>
      </c>
    </row>
    <row r="18" spans="1:6" ht="11.25" customHeight="1" x14ac:dyDescent="0.2">
      <c r="A18" s="71"/>
      <c r="B18" s="99"/>
      <c r="C18" s="99"/>
      <c r="D18" s="99"/>
      <c r="E18" s="99"/>
      <c r="F18" s="99"/>
    </row>
    <row r="19" spans="1:6" ht="11.25" customHeight="1" x14ac:dyDescent="0.2">
      <c r="B19" s="73"/>
      <c r="C19" s="73"/>
      <c r="D19" s="73"/>
      <c r="E19" s="73"/>
      <c r="F19" s="73"/>
    </row>
    <row r="20" spans="1:6" ht="11.25" customHeight="1" x14ac:dyDescent="0.2">
      <c r="A20" s="71"/>
      <c r="B20" s="102"/>
      <c r="C20" s="102"/>
      <c r="D20" s="102"/>
      <c r="E20" s="102"/>
    </row>
    <row r="21" spans="1:6" s="92" customFormat="1" ht="11.25" customHeight="1" x14ac:dyDescent="0.2">
      <c r="A21" s="103"/>
      <c r="B21" s="103"/>
      <c r="C21" s="103"/>
      <c r="D21" s="103"/>
      <c r="E21" s="103"/>
      <c r="F21" s="103"/>
    </row>
    <row r="22" spans="1:6" ht="11.25" customHeight="1" x14ac:dyDescent="0.2">
      <c r="A22" s="103"/>
    </row>
  </sheetData>
  <mergeCells count="1">
    <mergeCell ref="B3:F3"/>
  </mergeCells>
  <conditionalFormatting sqref="A1">
    <cfRule type="cellIs" dxfId="4" priority="3" operator="equal">
      <formula>0</formula>
    </cfRule>
  </conditionalFormatting>
  <conditionalFormatting sqref="B4:F4">
    <cfRule type="cellIs" dxfId="3" priority="7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EJ66"/>
  <sheetViews>
    <sheetView showGridLines="0" zoomScale="110" zoomScaleNormal="110" workbookViewId="0">
      <selection activeCell="T19" sqref="T19"/>
    </sheetView>
  </sheetViews>
  <sheetFormatPr baseColWidth="10" defaultColWidth="8.88671875" defaultRowHeight="11.25" customHeight="1" x14ac:dyDescent="0.2"/>
  <cols>
    <col min="1" max="1" width="47.44140625" style="103" customWidth="1"/>
    <col min="2" max="5" width="7.5546875" style="103" customWidth="1"/>
    <col min="6" max="6" width="6.5546875" style="103" customWidth="1"/>
    <col min="7" max="7" width="2.44140625" style="103" customWidth="1"/>
    <col min="8" max="12" width="5.5546875" style="103" customWidth="1"/>
    <col min="13" max="13" width="3.44140625" style="103" customWidth="1"/>
    <col min="14" max="18" width="6.5546875" style="103" customWidth="1"/>
    <col min="19" max="16384" width="8.88671875" style="103"/>
  </cols>
  <sheetData>
    <row r="1" spans="1:16364" s="104" customFormat="1" ht="15" customHeight="1" x14ac:dyDescent="0.25">
      <c r="A1" s="50" t="str">
        <f>Tabelloversikt!A8</f>
        <v>Tabell 3 Driftsinntekter og driftsresultat 2019-2023</v>
      </c>
      <c r="B1" s="51"/>
      <c r="C1" s="51"/>
      <c r="D1" s="51"/>
      <c r="E1" s="51"/>
      <c r="F1" s="51"/>
      <c r="G1" s="51"/>
      <c r="H1" s="51"/>
      <c r="I1" s="51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</row>
    <row r="2" spans="1:16364" s="104" customFormat="1" ht="12" customHeight="1" x14ac:dyDescent="0.25">
      <c r="A2" s="50"/>
      <c r="B2" s="51"/>
      <c r="C2" s="51"/>
      <c r="D2" s="51"/>
      <c r="E2" s="51"/>
      <c r="F2" s="51"/>
      <c r="G2" s="51"/>
      <c r="H2" s="51"/>
      <c r="I2" s="51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</row>
    <row r="3" spans="1:16364" s="56" customFormat="1" ht="20.25" customHeight="1" x14ac:dyDescent="0.2">
      <c r="A3" s="105"/>
      <c r="B3" s="468" t="s">
        <v>141</v>
      </c>
      <c r="C3" s="468"/>
      <c r="D3" s="468"/>
      <c r="E3" s="468"/>
      <c r="F3" s="468"/>
      <c r="G3" s="106"/>
      <c r="H3" s="468" t="s">
        <v>139</v>
      </c>
      <c r="I3" s="468"/>
      <c r="J3" s="468"/>
      <c r="K3" s="468"/>
      <c r="L3" s="468"/>
      <c r="M3" s="106"/>
      <c r="N3" s="468" t="s">
        <v>140</v>
      </c>
      <c r="O3" s="468"/>
      <c r="P3" s="468"/>
      <c r="Q3" s="468"/>
      <c r="R3" s="468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16364" s="110" customFormat="1" ht="20.25" customHeight="1" thickBot="1" x14ac:dyDescent="0.25">
      <c r="A4" s="6" t="s">
        <v>1</v>
      </c>
      <c r="B4" s="108">
        <f>C4-1</f>
        <v>2019</v>
      </c>
      <c r="C4" s="108">
        <f>D4-1</f>
        <v>2020</v>
      </c>
      <c r="D4" s="108">
        <f>E4-1</f>
        <v>2021</v>
      </c>
      <c r="E4" s="108">
        <f>F4-1</f>
        <v>2022</v>
      </c>
      <c r="F4" s="108">
        <v>2023</v>
      </c>
      <c r="G4" s="66"/>
      <c r="H4" s="108">
        <f>I4-1</f>
        <v>2019</v>
      </c>
      <c r="I4" s="108">
        <f>J4-1</f>
        <v>2020</v>
      </c>
      <c r="J4" s="108">
        <f>K4-1</f>
        <v>2021</v>
      </c>
      <c r="K4" s="108">
        <f>L4-1</f>
        <v>2022</v>
      </c>
      <c r="L4" s="108">
        <f>F4</f>
        <v>2023</v>
      </c>
      <c r="M4" s="66"/>
      <c r="N4" s="108">
        <f>O4-1</f>
        <v>2019</v>
      </c>
      <c r="O4" s="108">
        <f>P4-1</f>
        <v>2020</v>
      </c>
      <c r="P4" s="108">
        <f>Q4-1</f>
        <v>2021</v>
      </c>
      <c r="Q4" s="108">
        <f>R4-1</f>
        <v>2022</v>
      </c>
      <c r="R4" s="108">
        <f>F4</f>
        <v>2023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</row>
    <row r="5" spans="1:16364" ht="11.25" customHeight="1" x14ac:dyDescent="0.2">
      <c r="A5" s="67"/>
      <c r="B5" s="70" t="s">
        <v>2</v>
      </c>
      <c r="C5" s="70" t="s">
        <v>2</v>
      </c>
      <c r="D5" s="70" t="s">
        <v>2</v>
      </c>
      <c r="E5" s="70" t="s">
        <v>2</v>
      </c>
      <c r="F5" s="70" t="s">
        <v>2</v>
      </c>
      <c r="G5" s="70"/>
      <c r="H5" s="70" t="s">
        <v>2</v>
      </c>
      <c r="I5" s="70" t="s">
        <v>2</v>
      </c>
      <c r="J5" s="70" t="s">
        <v>2</v>
      </c>
      <c r="K5" s="70" t="s">
        <v>2</v>
      </c>
      <c r="L5" s="70" t="s">
        <v>2</v>
      </c>
      <c r="M5" s="70"/>
      <c r="N5" s="70" t="s">
        <v>3</v>
      </c>
      <c r="O5" s="70" t="s">
        <v>3</v>
      </c>
      <c r="P5" s="70" t="s">
        <v>3</v>
      </c>
      <c r="Q5" s="70" t="s">
        <v>3</v>
      </c>
      <c r="R5" s="70" t="s">
        <v>3</v>
      </c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16364" ht="11.25" customHeight="1" x14ac:dyDescent="0.2">
      <c r="A6" s="71" t="s">
        <v>5</v>
      </c>
      <c r="B6" s="112">
        <v>1471246</v>
      </c>
      <c r="C6" s="112">
        <v>1435751</v>
      </c>
      <c r="D6" s="112">
        <v>1545923</v>
      </c>
      <c r="E6" s="112">
        <v>1759629</v>
      </c>
      <c r="F6" s="112">
        <v>1797626</v>
      </c>
      <c r="G6" s="112"/>
      <c r="H6" s="112">
        <v>21484</v>
      </c>
      <c r="I6" s="112">
        <v>34421</v>
      </c>
      <c r="J6" s="112">
        <v>59490</v>
      </c>
      <c r="K6" s="112">
        <v>54408</v>
      </c>
      <c r="L6" s="112">
        <v>-14051</v>
      </c>
      <c r="M6" s="114"/>
      <c r="N6" s="115">
        <v>1.4602588554191481E-2</v>
      </c>
      <c r="O6" s="115">
        <v>2.3974212798737387E-2</v>
      </c>
      <c r="P6" s="115">
        <v>3.8481864879428021E-2</v>
      </c>
      <c r="Q6" s="115">
        <v>3.0920154191593795E-2</v>
      </c>
      <c r="R6" s="115">
        <v>-7.8164201007328554E-3</v>
      </c>
    </row>
    <row r="7" spans="1:16364" ht="11.25" customHeight="1" x14ac:dyDescent="0.2">
      <c r="A7" s="71" t="s">
        <v>108</v>
      </c>
      <c r="B7" s="116">
        <v>1721436</v>
      </c>
      <c r="C7" s="116">
        <v>1778981</v>
      </c>
      <c r="D7" s="116">
        <v>2058177</v>
      </c>
      <c r="E7" s="116">
        <v>2329048</v>
      </c>
      <c r="F7" s="116">
        <v>2536883</v>
      </c>
      <c r="G7" s="116"/>
      <c r="H7" s="116">
        <v>-4822</v>
      </c>
      <c r="I7" s="116">
        <v>16220</v>
      </c>
      <c r="J7" s="112">
        <v>-9645</v>
      </c>
      <c r="K7" s="112">
        <v>6452</v>
      </c>
      <c r="L7" s="112">
        <v>-28200</v>
      </c>
      <c r="M7" s="114"/>
      <c r="N7" s="115">
        <v>-2.8011497377770653E-3</v>
      </c>
      <c r="O7" s="115">
        <v>9.1175791084896346E-3</v>
      </c>
      <c r="P7" s="115">
        <v>-4.6861858819722503E-3</v>
      </c>
      <c r="Q7" s="115">
        <v>2.7702305834830369E-3</v>
      </c>
      <c r="R7" s="115">
        <v>-1.111600337894968E-2</v>
      </c>
    </row>
    <row r="8" spans="1:16364" ht="11.25" customHeight="1" x14ac:dyDescent="0.2">
      <c r="A8" s="71" t="s">
        <v>4</v>
      </c>
      <c r="B8" s="112">
        <v>2170070</v>
      </c>
      <c r="C8" s="112">
        <v>2086250</v>
      </c>
      <c r="D8" s="112">
        <v>2181762</v>
      </c>
      <c r="E8" s="112">
        <v>2425111</v>
      </c>
      <c r="F8" s="112">
        <v>2593951</v>
      </c>
      <c r="G8" s="112"/>
      <c r="H8" s="112">
        <v>54412</v>
      </c>
      <c r="I8" s="112">
        <v>50425</v>
      </c>
      <c r="J8" s="112">
        <v>35962</v>
      </c>
      <c r="K8" s="112">
        <v>-10934</v>
      </c>
      <c r="L8" s="112">
        <v>-7736</v>
      </c>
      <c r="M8" s="114"/>
      <c r="N8" s="115">
        <v>2.5073845544152953E-2</v>
      </c>
      <c r="O8" s="115">
        <v>2.4170161773517076E-2</v>
      </c>
      <c r="P8" s="115">
        <v>1.6483007770783431E-2</v>
      </c>
      <c r="Q8" s="115">
        <v>-4.5086596036222676E-3</v>
      </c>
      <c r="R8" s="115">
        <v>-2.9823231047926501E-3</v>
      </c>
    </row>
    <row r="9" spans="1:16364" ht="11.25" customHeight="1" x14ac:dyDescent="0.2">
      <c r="A9" s="71" t="s">
        <v>6</v>
      </c>
      <c r="B9" s="112">
        <v>5538682</v>
      </c>
      <c r="C9" s="112">
        <v>5515799</v>
      </c>
      <c r="D9" s="112">
        <v>5865699</v>
      </c>
      <c r="E9" s="112">
        <v>6343423</v>
      </c>
      <c r="F9" s="112">
        <v>6476070</v>
      </c>
      <c r="G9" s="112"/>
      <c r="H9" s="112">
        <v>146516</v>
      </c>
      <c r="I9" s="112">
        <v>179962</v>
      </c>
      <c r="J9" s="112">
        <v>234775</v>
      </c>
      <c r="K9" s="112">
        <v>87549</v>
      </c>
      <c r="L9" s="112">
        <v>85972</v>
      </c>
      <c r="M9" s="114"/>
      <c r="N9" s="115">
        <v>2.6453224792468678E-2</v>
      </c>
      <c r="O9" s="115">
        <v>3.2626642123833739E-2</v>
      </c>
      <c r="P9" s="115">
        <v>4.0025067771121567E-2</v>
      </c>
      <c r="Q9" s="115">
        <v>1.3801539011350812E-2</v>
      </c>
      <c r="R9" s="115">
        <v>1.3275335195573858E-2</v>
      </c>
    </row>
    <row r="10" spans="1:16364" s="120" customFormat="1" ht="10.199999999999999" x14ac:dyDescent="0.2">
      <c r="A10" s="78" t="s">
        <v>107</v>
      </c>
      <c r="B10" s="117">
        <f>SUM(B6:B9)</f>
        <v>10901434</v>
      </c>
      <c r="C10" s="117">
        <f t="shared" ref="C10:L10" si="0">SUM(C6:C9)</f>
        <v>10816781</v>
      </c>
      <c r="D10" s="117">
        <f>SUM(D6:D9)</f>
        <v>11651561</v>
      </c>
      <c r="E10" s="117">
        <f>SUM(E6:E9)</f>
        <v>12857211</v>
      </c>
      <c r="F10" s="117">
        <f>SUM(F6:F9)</f>
        <v>13404530</v>
      </c>
      <c r="G10" s="117"/>
      <c r="H10" s="117">
        <f t="shared" si="0"/>
        <v>217590</v>
      </c>
      <c r="I10" s="117">
        <f t="shared" si="0"/>
        <v>281028</v>
      </c>
      <c r="J10" s="117">
        <f t="shared" si="0"/>
        <v>320582</v>
      </c>
      <c r="K10" s="117">
        <f t="shared" si="0"/>
        <v>137475</v>
      </c>
      <c r="L10" s="117">
        <f t="shared" si="0"/>
        <v>35985</v>
      </c>
      <c r="M10" s="118"/>
      <c r="N10" s="119">
        <f t="shared" ref="N10:N15" si="1">H10/B10</f>
        <v>1.9959759422475978E-2</v>
      </c>
      <c r="O10" s="119">
        <f t="shared" ref="O10:R15" si="2">I10/C10</f>
        <v>2.598074232990388E-2</v>
      </c>
      <c r="P10" s="119">
        <f t="shared" si="2"/>
        <v>2.7514081589582719E-2</v>
      </c>
      <c r="Q10" s="119">
        <f t="shared" si="2"/>
        <v>1.0692443330050351E-2</v>
      </c>
      <c r="R10" s="119">
        <f>L10/F10</f>
        <v>2.6845402263264732E-3</v>
      </c>
    </row>
    <row r="11" spans="1:16364" ht="10.199999999999999" x14ac:dyDescent="0.2">
      <c r="A11" s="71" t="s">
        <v>110</v>
      </c>
      <c r="B11" s="112">
        <v>1626955</v>
      </c>
      <c r="C11" s="112">
        <v>1567650</v>
      </c>
      <c r="D11" s="112">
        <v>1688719</v>
      </c>
      <c r="E11" s="112">
        <v>1778780</v>
      </c>
      <c r="F11" s="112">
        <v>1809455</v>
      </c>
      <c r="G11" s="112"/>
      <c r="H11" s="112">
        <v>51</v>
      </c>
      <c r="I11" s="112">
        <v>-168</v>
      </c>
      <c r="J11" s="112">
        <v>-7</v>
      </c>
      <c r="K11" s="112">
        <v>2109</v>
      </c>
      <c r="L11" s="112">
        <v>-110</v>
      </c>
      <c r="M11" s="114"/>
      <c r="N11" s="115">
        <v>3.1346902649427921E-5</v>
      </c>
      <c r="O11" s="115">
        <v>-1.071667782987274E-4</v>
      </c>
      <c r="P11" s="115">
        <v>-4.1451538118538371E-6</v>
      </c>
      <c r="Q11" s="115">
        <v>1.1856440931424909E-3</v>
      </c>
      <c r="R11" s="115">
        <v>-6.079178537183848E-5</v>
      </c>
    </row>
    <row r="12" spans="1:16364" ht="10.199999999999999" x14ac:dyDescent="0.2">
      <c r="A12" s="71" t="s">
        <v>111</v>
      </c>
      <c r="B12" s="112">
        <v>997543</v>
      </c>
      <c r="C12" s="112">
        <v>1055237</v>
      </c>
      <c r="D12" s="112">
        <v>1151604</v>
      </c>
      <c r="E12" s="112">
        <v>1212789</v>
      </c>
      <c r="F12" s="112">
        <v>1315161</v>
      </c>
      <c r="G12" s="112"/>
      <c r="H12" s="112">
        <v>2331</v>
      </c>
      <c r="I12" s="112">
        <v>23759</v>
      </c>
      <c r="J12" s="112">
        <v>50397</v>
      </c>
      <c r="K12" s="112">
        <v>-9747</v>
      </c>
      <c r="L12" s="112">
        <v>22966</v>
      </c>
      <c r="M12" s="114"/>
      <c r="N12" s="115">
        <v>2.336741373554824E-3</v>
      </c>
      <c r="O12" s="115">
        <v>2.2515321202725074E-2</v>
      </c>
      <c r="P12" s="115">
        <v>4.3762439171798638E-2</v>
      </c>
      <c r="Q12" s="115">
        <v>-8.0368472999013015E-3</v>
      </c>
      <c r="R12" s="115">
        <v>1.74625007888768E-2</v>
      </c>
    </row>
    <row r="13" spans="1:16364" ht="10.199999999999999" x14ac:dyDescent="0.2">
      <c r="A13" s="78" t="s">
        <v>157</v>
      </c>
      <c r="B13" s="117">
        <f>SUM(B11:B12)</f>
        <v>2624498</v>
      </c>
      <c r="C13" s="117">
        <f>SUM(C11:C12)</f>
        <v>2622887</v>
      </c>
      <c r="D13" s="117">
        <f>SUM(D11:D12)</f>
        <v>2840323</v>
      </c>
      <c r="E13" s="117">
        <f>SUM(E11:E12)</f>
        <v>2991569</v>
      </c>
      <c r="F13" s="117">
        <f>SUM(F11:F12)</f>
        <v>3124616</v>
      </c>
      <c r="G13" s="117"/>
      <c r="H13" s="117">
        <f>SUM(H11:H12)</f>
        <v>2382</v>
      </c>
      <c r="I13" s="117">
        <f>SUM(I11:I12)</f>
        <v>23591</v>
      </c>
      <c r="J13" s="117">
        <f>SUM(J11:J12)</f>
        <v>50390</v>
      </c>
      <c r="K13" s="117">
        <f>SUM(K11:K12)</f>
        <v>-7638</v>
      </c>
      <c r="L13" s="117">
        <f>SUM(L11:L12)</f>
        <v>22856</v>
      </c>
      <c r="M13" s="117"/>
      <c r="N13" s="119">
        <f t="shared" si="1"/>
        <v>9.0760213953296968E-4</v>
      </c>
      <c r="O13" s="119">
        <f t="shared" si="2"/>
        <v>8.994287592259979E-3</v>
      </c>
      <c r="P13" s="119">
        <f t="shared" si="2"/>
        <v>1.7740940026891309E-2</v>
      </c>
      <c r="Q13" s="119">
        <f>K13/E13</f>
        <v>-2.5531752735771765E-3</v>
      </c>
      <c r="R13" s="119">
        <f>L13/F13</f>
        <v>7.3148188449396658E-3</v>
      </c>
    </row>
    <row r="14" spans="1:16364" ht="10.199999999999999" x14ac:dyDescent="0.2">
      <c r="A14" s="71"/>
      <c r="B14" s="112"/>
      <c r="C14" s="112"/>
      <c r="D14" s="112"/>
      <c r="E14" s="112"/>
      <c r="F14" s="112"/>
      <c r="G14" s="112"/>
      <c r="H14" s="112"/>
      <c r="I14" s="112"/>
      <c r="J14" s="450"/>
      <c r="K14" s="450"/>
      <c r="L14" s="451"/>
      <c r="M14" s="114"/>
      <c r="N14" s="123"/>
      <c r="O14" s="123"/>
      <c r="P14" s="123"/>
      <c r="Q14" s="123"/>
      <c r="R14" s="123"/>
    </row>
    <row r="15" spans="1:16364" s="12" customFormat="1" ht="13.2" x14ac:dyDescent="0.25">
      <c r="A15" s="78" t="s">
        <v>11</v>
      </c>
      <c r="B15" s="117">
        <f>B10+B13</f>
        <v>13525932</v>
      </c>
      <c r="C15" s="117">
        <f>C10+C13</f>
        <v>13439668</v>
      </c>
      <c r="D15" s="117">
        <f>D10+D13</f>
        <v>14491884</v>
      </c>
      <c r="E15" s="117">
        <f>E10+E13</f>
        <v>15848780</v>
      </c>
      <c r="F15" s="117">
        <f>F10+F13</f>
        <v>16529146</v>
      </c>
      <c r="G15" s="117"/>
      <c r="H15" s="117">
        <f>H10+H13</f>
        <v>219972</v>
      </c>
      <c r="I15" s="117">
        <f>I10+I13</f>
        <v>304619</v>
      </c>
      <c r="J15" s="117">
        <f>J10+J13</f>
        <v>370972</v>
      </c>
      <c r="K15" s="117">
        <f>K10+K13</f>
        <v>129837</v>
      </c>
      <c r="L15" s="117">
        <f>L10+L13</f>
        <v>58841</v>
      </c>
      <c r="M15" s="421"/>
      <c r="N15" s="119">
        <f t="shared" si="1"/>
        <v>1.626298283918624E-2</v>
      </c>
      <c r="O15" s="119">
        <f t="shared" si="2"/>
        <v>2.2665664062534879E-2</v>
      </c>
      <c r="P15" s="119">
        <f t="shared" si="2"/>
        <v>2.5598604018635535E-2</v>
      </c>
      <c r="Q15" s="119">
        <f t="shared" si="2"/>
        <v>8.1922394026543374E-3</v>
      </c>
      <c r="R15" s="119">
        <f t="shared" si="2"/>
        <v>3.559833036746121E-3</v>
      </c>
    </row>
    <row r="16" spans="1:16364" ht="11.25" customHeight="1" x14ac:dyDescent="0.2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</row>
    <row r="17" spans="1:18" ht="11.25" customHeight="1" x14ac:dyDescent="0.2">
      <c r="A17" s="113"/>
      <c r="B17" s="73"/>
      <c r="C17" s="73"/>
      <c r="D17" s="72"/>
      <c r="E17" s="72"/>
      <c r="F17" s="73"/>
      <c r="G17" s="73"/>
      <c r="H17" s="73"/>
      <c r="I17" s="73"/>
      <c r="J17" s="99"/>
      <c r="K17" s="99"/>
      <c r="L17" s="99"/>
      <c r="M17" s="99"/>
      <c r="N17" s="99"/>
      <c r="O17" s="99"/>
      <c r="P17" s="99"/>
      <c r="Q17" s="99"/>
      <c r="R17" s="99"/>
    </row>
    <row r="18" spans="1:18" ht="11.25" customHeight="1" x14ac:dyDescent="0.2">
      <c r="A18" s="113"/>
      <c r="B18" s="112"/>
      <c r="C18" s="112"/>
      <c r="D18" s="112"/>
      <c r="E18" s="112"/>
      <c r="F18" s="112"/>
      <c r="G18" s="73"/>
      <c r="H18" s="73"/>
      <c r="I18" s="73"/>
      <c r="J18" s="99"/>
      <c r="K18" s="99"/>
      <c r="L18" s="99"/>
      <c r="M18" s="99"/>
      <c r="N18" s="99"/>
      <c r="O18" s="99"/>
      <c r="P18" s="99"/>
      <c r="Q18" s="99"/>
      <c r="R18" s="99"/>
    </row>
    <row r="19" spans="1:18" ht="11.25" customHeight="1" x14ac:dyDescent="0.2">
      <c r="G19" s="73"/>
    </row>
    <row r="20" spans="1:18" ht="11.25" customHeight="1" x14ac:dyDescent="0.2">
      <c r="B20" s="102"/>
      <c r="C20" s="102"/>
      <c r="D20" s="102"/>
      <c r="E20" s="102"/>
      <c r="F20" s="102"/>
      <c r="G20" s="73"/>
    </row>
    <row r="21" spans="1:18" ht="11.25" customHeight="1" x14ac:dyDescent="0.2">
      <c r="F21" s="75"/>
      <c r="G21" s="73"/>
    </row>
    <row r="22" spans="1:18" ht="11.25" customHeight="1" x14ac:dyDescent="0.2">
      <c r="F22" s="75"/>
      <c r="G22" s="73"/>
    </row>
    <row r="23" spans="1:18" ht="11.25" customHeight="1" x14ac:dyDescent="0.2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5" spans="1:18" ht="11.25" customHeight="1" x14ac:dyDescent="0.2">
      <c r="B25" s="386"/>
      <c r="C25" s="386"/>
      <c r="D25" s="386"/>
      <c r="E25" s="386"/>
      <c r="F25" s="126"/>
    </row>
    <row r="26" spans="1:18" ht="11.25" customHeight="1" x14ac:dyDescent="0.2">
      <c r="B26" s="386"/>
      <c r="C26" s="386"/>
      <c r="D26" s="386"/>
      <c r="E26" s="386"/>
      <c r="F26" s="126"/>
    </row>
    <row r="27" spans="1:18" ht="11.25" customHeight="1" x14ac:dyDescent="0.2">
      <c r="B27" s="386"/>
      <c r="C27" s="386"/>
      <c r="D27" s="386"/>
      <c r="E27" s="386"/>
      <c r="F27" s="126"/>
    </row>
    <row r="28" spans="1:18" ht="11.25" customHeight="1" x14ac:dyDescent="0.2">
      <c r="B28" s="386"/>
      <c r="C28" s="386"/>
      <c r="D28" s="386"/>
      <c r="E28" s="386"/>
      <c r="F28" s="126"/>
    </row>
    <row r="29" spans="1:18" ht="11.25" customHeight="1" x14ac:dyDescent="0.2">
      <c r="F29" s="126"/>
    </row>
    <row r="66" spans="1:1" ht="11.25" customHeight="1" x14ac:dyDescent="0.2">
      <c r="A66" s="127"/>
    </row>
  </sheetData>
  <mergeCells count="3">
    <mergeCell ref="N3:R3"/>
    <mergeCell ref="B3:F3"/>
    <mergeCell ref="H3:L3"/>
  </mergeCells>
  <pageMargins left="0.78740157499999996" right="0.78740157499999996" top="0.984251969" bottom="0.984251969" header="0.5" footer="0.5"/>
  <pageSetup paperSize="9" scale="78" orientation="landscape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35"/>
  <sheetViews>
    <sheetView showGridLines="0" zoomScale="115" zoomScaleNormal="115" workbookViewId="0">
      <selection activeCell="A36" sqref="A36"/>
    </sheetView>
  </sheetViews>
  <sheetFormatPr baseColWidth="10" defaultColWidth="11.44140625" defaultRowHeight="11.25" customHeight="1" x14ac:dyDescent="0.25"/>
  <cols>
    <col min="1" max="1" width="47.109375" style="12" customWidth="1"/>
    <col min="2" max="6" width="8.5546875" style="12" customWidth="1"/>
    <col min="7" max="7" width="4.44140625" style="12" customWidth="1"/>
    <col min="8" max="12" width="8.5546875" style="12" customWidth="1"/>
    <col min="13" max="13" width="11.44140625" style="12"/>
    <col min="14" max="20" width="11.44140625" style="372"/>
    <col min="21" max="16384" width="11.44140625" style="12"/>
  </cols>
  <sheetData>
    <row r="1" spans="1:35" s="17" customFormat="1" ht="12" customHeight="1" x14ac:dyDescent="0.25">
      <c r="A1" s="130" t="str">
        <f>Tabelloversikt!A9</f>
        <v>Tabell 4 Grunnbevilgning og grunnbevilgning per forskerårsverk 2019-2023</v>
      </c>
      <c r="B1" s="131"/>
      <c r="C1" s="130"/>
      <c r="D1" s="130"/>
      <c r="E1" s="130"/>
      <c r="F1" s="130"/>
      <c r="N1" s="366"/>
      <c r="O1" s="366"/>
      <c r="P1" s="366"/>
      <c r="Q1" s="366"/>
      <c r="R1" s="366"/>
      <c r="S1" s="366"/>
      <c r="T1" s="366"/>
    </row>
    <row r="2" spans="1:35" s="57" customFormat="1" ht="12" customHeight="1" x14ac:dyDescent="0.25">
      <c r="A2" s="132"/>
      <c r="B2" s="133"/>
      <c r="C2" s="132"/>
      <c r="D2" s="132"/>
      <c r="E2" s="132"/>
      <c r="F2" s="132"/>
      <c r="N2" s="367"/>
      <c r="O2" s="367"/>
      <c r="P2" s="367"/>
      <c r="Q2" s="367"/>
      <c r="R2" s="367"/>
      <c r="S2" s="367"/>
      <c r="T2" s="367"/>
    </row>
    <row r="3" spans="1:35" s="5" customFormat="1" ht="10.199999999999999" x14ac:dyDescent="0.2">
      <c r="A3" s="7"/>
      <c r="B3" s="469"/>
      <c r="C3" s="469"/>
      <c r="D3" s="469"/>
      <c r="E3" s="469"/>
      <c r="F3" s="469"/>
      <c r="G3" s="7"/>
      <c r="H3" s="7"/>
      <c r="I3" s="7"/>
      <c r="J3" s="7"/>
      <c r="K3" s="134"/>
      <c r="L3" s="7"/>
      <c r="M3" s="4"/>
      <c r="N3" s="368"/>
      <c r="O3" s="368"/>
      <c r="P3" s="368"/>
      <c r="Q3" s="368"/>
      <c r="R3" s="368"/>
      <c r="S3" s="368"/>
      <c r="T3" s="368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135" customFormat="1" ht="12" customHeight="1" x14ac:dyDescent="0.2">
      <c r="A4" s="6"/>
      <c r="B4" s="470" t="s">
        <v>219</v>
      </c>
      <c r="C4" s="470"/>
      <c r="D4" s="470"/>
      <c r="E4" s="470"/>
      <c r="F4" s="470"/>
      <c r="G4" s="63"/>
      <c r="H4" s="470" t="s">
        <v>220</v>
      </c>
      <c r="I4" s="470"/>
      <c r="J4" s="470"/>
      <c r="K4" s="470"/>
      <c r="L4" s="470"/>
      <c r="M4" s="3"/>
      <c r="N4" s="369"/>
      <c r="O4" s="369"/>
      <c r="P4" s="369"/>
      <c r="Q4" s="369"/>
      <c r="R4" s="369"/>
      <c r="S4" s="369"/>
      <c r="T4" s="369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1.25" customHeight="1" thickBot="1" x14ac:dyDescent="0.3">
      <c r="A5" s="136"/>
      <c r="B5" s="137">
        <f>C5-1</f>
        <v>2019</v>
      </c>
      <c r="C5" s="137">
        <f>D5-1</f>
        <v>2020</v>
      </c>
      <c r="D5" s="137">
        <f>E5-1</f>
        <v>2021</v>
      </c>
      <c r="E5" s="137">
        <f>F5-1</f>
        <v>2022</v>
      </c>
      <c r="F5" s="137">
        <v>2023</v>
      </c>
      <c r="G5" s="136"/>
      <c r="H5" s="137">
        <f>I5-1</f>
        <v>2019</v>
      </c>
      <c r="I5" s="137">
        <f>J5-1</f>
        <v>2020</v>
      </c>
      <c r="J5" s="137">
        <f>K5-1</f>
        <v>2021</v>
      </c>
      <c r="K5" s="137">
        <f>L5-1</f>
        <v>2022</v>
      </c>
      <c r="L5" s="137">
        <f>F5</f>
        <v>2023</v>
      </c>
      <c r="M5" s="138"/>
      <c r="N5" s="370"/>
      <c r="O5" s="370"/>
      <c r="P5" s="370"/>
      <c r="Q5" s="370"/>
      <c r="R5" s="370"/>
      <c r="S5" s="370"/>
      <c r="T5" s="370"/>
      <c r="U5" s="138"/>
      <c r="V5" s="138"/>
      <c r="W5" s="138"/>
      <c r="X5" s="138"/>
      <c r="Y5" s="138"/>
      <c r="Z5" s="138"/>
      <c r="AA5" s="138"/>
      <c r="AB5" s="138"/>
    </row>
    <row r="6" spans="1:35" ht="11.25" customHeight="1" x14ac:dyDescent="0.25">
      <c r="A6" s="67"/>
      <c r="B6" s="68" t="s">
        <v>2</v>
      </c>
      <c r="C6" s="68" t="s">
        <v>2</v>
      </c>
      <c r="D6" s="68" t="s">
        <v>2</v>
      </c>
      <c r="E6" s="68" t="s">
        <v>2</v>
      </c>
      <c r="F6" s="68" t="s">
        <v>2</v>
      </c>
      <c r="G6" s="67"/>
      <c r="H6" s="68" t="s">
        <v>193</v>
      </c>
      <c r="I6" s="68" t="s">
        <v>193</v>
      </c>
      <c r="J6" s="68" t="s">
        <v>193</v>
      </c>
      <c r="K6" s="68" t="s">
        <v>193</v>
      </c>
      <c r="L6" s="68" t="s">
        <v>193</v>
      </c>
      <c r="M6" s="138"/>
      <c r="N6" s="370"/>
      <c r="O6" s="370"/>
      <c r="P6" s="370"/>
      <c r="Q6" s="370"/>
      <c r="R6" s="370"/>
      <c r="S6" s="370"/>
      <c r="T6" s="370"/>
      <c r="U6" s="138"/>
      <c r="V6" s="138"/>
      <c r="W6" s="138"/>
      <c r="X6" s="138"/>
      <c r="Y6" s="138"/>
      <c r="Z6" s="138"/>
      <c r="AA6" s="138"/>
      <c r="AB6" s="138"/>
    </row>
    <row r="7" spans="1:35" ht="11.25" customHeight="1" x14ac:dyDescent="0.25">
      <c r="A7" s="71" t="s">
        <v>5</v>
      </c>
      <c r="B7" s="139">
        <v>222938</v>
      </c>
      <c r="C7" s="139">
        <v>231227</v>
      </c>
      <c r="D7" s="139">
        <v>252853</v>
      </c>
      <c r="E7" s="139">
        <v>277211</v>
      </c>
      <c r="F7" s="139">
        <v>298596</v>
      </c>
      <c r="G7" s="9"/>
      <c r="H7" s="140">
        <v>299.95425434583711</v>
      </c>
      <c r="I7" s="140">
        <v>306.42448883311221</v>
      </c>
      <c r="J7" s="140">
        <v>316.81472478731001</v>
      </c>
      <c r="K7" s="140">
        <v>331.17615435159189</v>
      </c>
      <c r="L7" s="140">
        <v>366.10144554382612</v>
      </c>
      <c r="M7" s="14"/>
      <c r="N7" s="394"/>
      <c r="O7" s="371"/>
      <c r="P7" s="371"/>
    </row>
    <row r="8" spans="1:35" ht="11.25" customHeight="1" x14ac:dyDescent="0.25">
      <c r="A8" s="71" t="s">
        <v>108</v>
      </c>
      <c r="B8" s="139">
        <v>215208</v>
      </c>
      <c r="C8" s="139">
        <v>272441</v>
      </c>
      <c r="D8" s="139">
        <v>268918</v>
      </c>
      <c r="E8" s="139">
        <v>284667</v>
      </c>
      <c r="F8" s="139">
        <v>305326</v>
      </c>
      <c r="G8" s="9"/>
      <c r="H8" s="140">
        <v>263.738526207429</v>
      </c>
      <c r="I8" s="140">
        <v>347.66978892830713</v>
      </c>
      <c r="J8" s="140">
        <v>295.42663165873864</v>
      </c>
      <c r="K8" s="140">
        <v>285.96528238201438</v>
      </c>
      <c r="L8" s="140">
        <v>302.09957652273721</v>
      </c>
      <c r="M8" s="14"/>
      <c r="N8" s="371"/>
      <c r="O8" s="371"/>
      <c r="P8" s="371"/>
    </row>
    <row r="9" spans="1:35" ht="11.25" customHeight="1" x14ac:dyDescent="0.25">
      <c r="A9" s="71" t="s">
        <v>4</v>
      </c>
      <c r="B9" s="139">
        <v>322887</v>
      </c>
      <c r="C9" s="139">
        <v>322547</v>
      </c>
      <c r="D9" s="139">
        <v>341431</v>
      </c>
      <c r="E9" s="139">
        <v>328946</v>
      </c>
      <c r="F9" s="139">
        <v>340138</v>
      </c>
      <c r="G9" s="9"/>
      <c r="H9" s="140">
        <v>394.32727183908753</v>
      </c>
      <c r="I9" s="140">
        <v>416.55517098873855</v>
      </c>
      <c r="J9" s="140">
        <v>441.44471452213486</v>
      </c>
      <c r="K9" s="140">
        <v>410.30547205348563</v>
      </c>
      <c r="L9" s="140">
        <v>410.85423008165435</v>
      </c>
      <c r="M9" s="14"/>
      <c r="N9" s="371"/>
      <c r="O9" s="371"/>
      <c r="P9" s="371"/>
    </row>
    <row r="10" spans="1:35" ht="11.25" customHeight="1" x14ac:dyDescent="0.25">
      <c r="A10" s="71" t="s">
        <v>6</v>
      </c>
      <c r="B10" s="139">
        <v>510415</v>
      </c>
      <c r="C10" s="139">
        <v>679033</v>
      </c>
      <c r="D10" s="139">
        <v>692877</v>
      </c>
      <c r="E10" s="139">
        <v>654237</v>
      </c>
      <c r="F10" s="139">
        <v>744261</v>
      </c>
      <c r="G10" s="9"/>
      <c r="H10" s="140">
        <v>250.97110770199041</v>
      </c>
      <c r="I10" s="140">
        <v>338.44363368123049</v>
      </c>
      <c r="J10" s="140">
        <v>324.81400745376561</v>
      </c>
      <c r="K10" s="140">
        <v>302.12240298872757</v>
      </c>
      <c r="L10" s="140">
        <v>339.80796625027392</v>
      </c>
      <c r="M10" s="14"/>
      <c r="N10" s="371"/>
      <c r="O10" s="371"/>
      <c r="P10" s="371"/>
    </row>
    <row r="11" spans="1:35" ht="11.25" customHeight="1" thickBot="1" x14ac:dyDescent="0.3">
      <c r="A11" s="124" t="s">
        <v>107</v>
      </c>
      <c r="B11" s="141">
        <f t="shared" ref="B11:E11" si="0">SUM(B7:B10)</f>
        <v>1271448</v>
      </c>
      <c r="C11" s="141">
        <f t="shared" si="0"/>
        <v>1505248</v>
      </c>
      <c r="D11" s="141">
        <f t="shared" si="0"/>
        <v>1556079</v>
      </c>
      <c r="E11" s="141">
        <f t="shared" si="0"/>
        <v>1545061</v>
      </c>
      <c r="F11" s="141">
        <f>SUM(F7:F10)</f>
        <v>1688321</v>
      </c>
      <c r="G11" s="141"/>
      <c r="H11" s="142">
        <f>B11/'Tabell 9'!G10</f>
        <v>288.19126800277439</v>
      </c>
      <c r="I11" s="142">
        <f>C11/'Tabell 9'!G17</f>
        <v>348.52763808740093</v>
      </c>
      <c r="J11" s="142">
        <f>D11/'Tabell 9'!G24</f>
        <v>337.1807400698163</v>
      </c>
      <c r="K11" s="142">
        <f>E11/'Tabell 9'!G31</f>
        <v>321.90849825717908</v>
      </c>
      <c r="L11" s="142">
        <f>F11/'Tabell 9'!G38</f>
        <v>348.50910637208659</v>
      </c>
      <c r="M11" s="14"/>
      <c r="N11" s="373"/>
      <c r="O11" s="373"/>
      <c r="P11" s="373"/>
      <c r="Q11" s="374"/>
      <c r="R11" s="374"/>
    </row>
    <row r="12" spans="1:35" ht="13.2" x14ac:dyDescent="0.25">
      <c r="A12" s="71" t="s">
        <v>110</v>
      </c>
      <c r="B12" s="139">
        <v>22830</v>
      </c>
      <c r="C12" s="139">
        <v>31220</v>
      </c>
      <c r="D12" s="139">
        <v>57000</v>
      </c>
      <c r="E12" s="139">
        <v>35310</v>
      </c>
      <c r="F12" s="139">
        <v>26520</v>
      </c>
      <c r="G12" s="10"/>
      <c r="H12" s="140">
        <v>68</v>
      </c>
      <c r="I12" s="140">
        <v>91</v>
      </c>
      <c r="J12" s="140">
        <v>162</v>
      </c>
      <c r="K12" s="140">
        <v>103</v>
      </c>
      <c r="L12" s="140">
        <v>80</v>
      </c>
      <c r="N12" s="375"/>
      <c r="O12" s="375"/>
      <c r="P12" s="375"/>
      <c r="Q12" s="375"/>
      <c r="R12" s="375"/>
    </row>
    <row r="13" spans="1:35" ht="13.2" x14ac:dyDescent="0.25">
      <c r="A13" s="71" t="s">
        <v>111</v>
      </c>
      <c r="B13" s="139">
        <v>206162</v>
      </c>
      <c r="C13" s="139">
        <v>199641</v>
      </c>
      <c r="D13" s="139">
        <v>244432</v>
      </c>
      <c r="E13" s="139">
        <v>241432</v>
      </c>
      <c r="F13" s="139">
        <v>286035</v>
      </c>
      <c r="G13" s="10"/>
      <c r="H13" s="140">
        <v>378</v>
      </c>
      <c r="I13" s="140">
        <v>353</v>
      </c>
      <c r="J13" s="140">
        <v>422</v>
      </c>
      <c r="K13" s="140">
        <v>410</v>
      </c>
      <c r="L13" s="140">
        <v>477</v>
      </c>
      <c r="N13" s="375"/>
      <c r="O13" s="375"/>
      <c r="P13" s="375"/>
      <c r="Q13" s="375"/>
      <c r="R13" s="375"/>
    </row>
    <row r="14" spans="1:35" ht="13.8" thickBot="1" x14ac:dyDescent="0.3">
      <c r="A14" s="124" t="s">
        <v>157</v>
      </c>
      <c r="B14" s="141">
        <f>SUM(B12:B13)</f>
        <v>228992</v>
      </c>
      <c r="C14" s="141">
        <f t="shared" ref="C14:F14" si="1">SUM(C12:C13)</f>
        <v>230861</v>
      </c>
      <c r="D14" s="141">
        <f t="shared" si="1"/>
        <v>301432</v>
      </c>
      <c r="E14" s="141">
        <f t="shared" si="1"/>
        <v>276742</v>
      </c>
      <c r="F14" s="141">
        <f t="shared" si="1"/>
        <v>312555</v>
      </c>
      <c r="G14" s="141"/>
      <c r="H14" s="142">
        <v>260</v>
      </c>
      <c r="I14" s="142">
        <v>254</v>
      </c>
      <c r="J14" s="142">
        <v>323</v>
      </c>
      <c r="K14" s="142">
        <v>297</v>
      </c>
      <c r="L14" s="142">
        <v>336</v>
      </c>
      <c r="N14" s="375"/>
      <c r="O14" s="375"/>
      <c r="P14" s="375"/>
      <c r="Q14" s="375"/>
      <c r="R14" s="375"/>
    </row>
    <row r="15" spans="1:35" ht="11.25" customHeight="1" x14ac:dyDescent="0.25">
      <c r="A15" s="71"/>
      <c r="B15" s="139"/>
      <c r="C15" s="139"/>
      <c r="D15" s="139"/>
      <c r="E15" s="139"/>
      <c r="F15" s="139"/>
      <c r="G15" s="10"/>
      <c r="H15" s="9"/>
      <c r="I15" s="9"/>
      <c r="J15" s="9"/>
      <c r="K15" s="9"/>
      <c r="L15" s="9"/>
      <c r="N15" s="374"/>
      <c r="O15" s="374"/>
      <c r="P15" s="374"/>
      <c r="Q15" s="374"/>
      <c r="R15" s="374"/>
    </row>
    <row r="16" spans="1:35" ht="11.25" customHeight="1" x14ac:dyDescent="0.25">
      <c r="A16" s="78" t="s">
        <v>11</v>
      </c>
      <c r="B16" s="143">
        <f>SUM(B11:B13)</f>
        <v>1500440</v>
      </c>
      <c r="C16" s="143">
        <f>SUM(C11:C13)</f>
        <v>1736109</v>
      </c>
      <c r="D16" s="143">
        <f>SUM(D11:D13)</f>
        <v>1857511</v>
      </c>
      <c r="E16" s="143">
        <f>SUM(E11:E13)</f>
        <v>1821803</v>
      </c>
      <c r="F16" s="143">
        <f>SUM(F11:F13)</f>
        <v>2000876</v>
      </c>
      <c r="G16" s="11"/>
      <c r="H16" s="382">
        <v>283</v>
      </c>
      <c r="I16" s="382">
        <v>332</v>
      </c>
      <c r="J16" s="382">
        <v>335</v>
      </c>
      <c r="K16" s="382">
        <v>318</v>
      </c>
      <c r="L16" s="382">
        <v>346</v>
      </c>
    </row>
    <row r="19" spans="1:12" ht="11.25" customHeight="1" x14ac:dyDescent="0.25">
      <c r="A19" s="7"/>
      <c r="B19" s="7"/>
      <c r="C19" s="7"/>
      <c r="D19" s="7"/>
      <c r="E19" s="134"/>
      <c r="F19" s="7"/>
    </row>
    <row r="20" spans="1:12" ht="11.25" customHeight="1" x14ac:dyDescent="0.25">
      <c r="A20" s="6"/>
      <c r="B20" s="470" t="s">
        <v>221</v>
      </c>
      <c r="C20" s="470"/>
      <c r="D20" s="470"/>
      <c r="E20" s="470"/>
      <c r="F20" s="470"/>
    </row>
    <row r="21" spans="1:12" ht="11.25" customHeight="1" thickBot="1" x14ac:dyDescent="0.3">
      <c r="A21" s="136"/>
      <c r="B21" s="137">
        <f>C21-1</f>
        <v>2019</v>
      </c>
      <c r="C21" s="137">
        <f>D21-1</f>
        <v>2020</v>
      </c>
      <c r="D21" s="137">
        <f>E21-1</f>
        <v>2021</v>
      </c>
      <c r="E21" s="137">
        <f>F21-1</f>
        <v>2022</v>
      </c>
      <c r="F21" s="137">
        <f>F5</f>
        <v>2023</v>
      </c>
    </row>
    <row r="22" spans="1:12" ht="11.25" customHeight="1" x14ac:dyDescent="0.25">
      <c r="A22" s="67"/>
      <c r="B22" s="68" t="s">
        <v>3</v>
      </c>
      <c r="C22" s="68" t="s">
        <v>3</v>
      </c>
      <c r="D22" s="68" t="s">
        <v>3</v>
      </c>
      <c r="E22" s="68" t="s">
        <v>3</v>
      </c>
      <c r="F22" s="68" t="s">
        <v>3</v>
      </c>
    </row>
    <row r="23" spans="1:12" ht="11.25" customHeight="1" x14ac:dyDescent="0.25">
      <c r="A23" s="71" t="s">
        <v>5</v>
      </c>
      <c r="B23" s="377">
        <v>15.153006363313818</v>
      </c>
      <c r="C23" s="377">
        <v>16.104951346020307</v>
      </c>
      <c r="D23" s="377">
        <v>16.356118642390339</v>
      </c>
      <c r="E23" s="377">
        <v>15.753945860178481</v>
      </c>
      <c r="F23" s="377">
        <v>16.6105741683754</v>
      </c>
      <c r="H23" s="190"/>
      <c r="I23" s="190"/>
      <c r="J23" s="190"/>
      <c r="K23" s="190"/>
      <c r="L23" s="190"/>
    </row>
    <row r="24" spans="1:12" ht="12.75" customHeight="1" x14ac:dyDescent="0.25">
      <c r="A24" s="71" t="s">
        <v>108</v>
      </c>
      <c r="B24" s="377">
        <v>12.501655594515277</v>
      </c>
      <c r="C24" s="377">
        <v>15.314441244735049</v>
      </c>
      <c r="D24" s="377">
        <v>13.065834473905792</v>
      </c>
      <c r="E24" s="377">
        <v>12.222461709677088</v>
      </c>
      <c r="F24" s="377">
        <v>12.035478183266632</v>
      </c>
      <c r="H24" s="190"/>
      <c r="I24" s="190"/>
      <c r="J24" s="190"/>
      <c r="K24" s="190"/>
      <c r="L24" s="190"/>
    </row>
    <row r="25" spans="1:12" ht="11.25" customHeight="1" x14ac:dyDescent="0.25">
      <c r="A25" s="71" t="s">
        <v>4</v>
      </c>
      <c r="B25" s="377">
        <v>14.879105282318083</v>
      </c>
      <c r="C25" s="377">
        <v>15.460611144397843</v>
      </c>
      <c r="D25" s="377">
        <v>15.649323803421272</v>
      </c>
      <c r="E25" s="377">
        <v>13.564162630081675</v>
      </c>
      <c r="F25" s="377">
        <v>13.112738058660321</v>
      </c>
      <c r="H25" s="190"/>
      <c r="I25" s="190"/>
      <c r="J25" s="190"/>
      <c r="K25" s="190"/>
      <c r="L25" s="190"/>
    </row>
    <row r="26" spans="1:12" ht="11.25" customHeight="1" x14ac:dyDescent="0.25">
      <c r="A26" s="71" t="s">
        <v>6</v>
      </c>
      <c r="B26" s="377">
        <v>9.2154595624013069</v>
      </c>
      <c r="C26" s="377">
        <v>12.310691524473608</v>
      </c>
      <c r="D26" s="377">
        <v>11.812351775977595</v>
      </c>
      <c r="E26" s="377">
        <v>10.313627200960743</v>
      </c>
      <c r="F26" s="377">
        <v>11.492479235091652</v>
      </c>
      <c r="H26" s="190"/>
      <c r="I26" s="190"/>
      <c r="J26" s="190"/>
      <c r="K26" s="190"/>
      <c r="L26" s="190"/>
    </row>
    <row r="27" spans="1:12" ht="11.25" customHeight="1" thickBot="1" x14ac:dyDescent="0.3">
      <c r="A27" s="124" t="s">
        <v>107</v>
      </c>
      <c r="B27" s="142">
        <f>100*B11/'Tabell 3'!B10</f>
        <v>11.66312615386196</v>
      </c>
      <c r="C27" s="142">
        <f>100*C11/'Tabell 3'!C10</f>
        <v>13.915859071196875</v>
      </c>
      <c r="D27" s="142">
        <f>100*D11/'Tabell 3'!D10</f>
        <v>13.355111817206295</v>
      </c>
      <c r="E27" s="142">
        <f>100*E11/'Tabell 3'!E10</f>
        <v>12.017077420600781</v>
      </c>
      <c r="F27" s="142">
        <f>100*F11/'Tabell 3'!F10</f>
        <v>12.595152534255211</v>
      </c>
    </row>
    <row r="28" spans="1:12" ht="11.25" customHeight="1" x14ac:dyDescent="0.25">
      <c r="A28" s="71" t="s">
        <v>110</v>
      </c>
      <c r="B28" s="377">
        <v>1.4029890193643955</v>
      </c>
      <c r="C28" s="377">
        <v>1.9915797531336714</v>
      </c>
      <c r="D28" s="377">
        <v>3.3754579654756061</v>
      </c>
      <c r="E28" s="377">
        <v>1.9850121993726038</v>
      </c>
      <c r="F28" s="377">
        <v>1.465413619017881</v>
      </c>
    </row>
    <row r="29" spans="1:12" ht="11.25" customHeight="1" x14ac:dyDescent="0.25">
      <c r="A29" s="71" t="s">
        <v>111</v>
      </c>
      <c r="B29" s="377">
        <v>20.666978766830102</v>
      </c>
      <c r="C29" s="377">
        <v>18.919067470151255</v>
      </c>
      <c r="D29" s="377">
        <v>21.209808232691099</v>
      </c>
      <c r="E29" s="377">
        <v>19.907172640912805</v>
      </c>
      <c r="F29" s="377">
        <v>21.7490482153896</v>
      </c>
    </row>
    <row r="30" spans="1:12" ht="11.25" customHeight="1" thickBot="1" x14ac:dyDescent="0.3">
      <c r="A30" s="124" t="s">
        <v>157</v>
      </c>
      <c r="B30" s="142">
        <f>100*B14/'Tabell 3'!B13</f>
        <v>8.725173347436348</v>
      </c>
      <c r="C30" s="142">
        <f>100*C14/'Tabell 3'!C13</f>
        <v>8.8017897835476706</v>
      </c>
      <c r="D30" s="142">
        <f>100*D14/'Tabell 3'!D13</f>
        <v>10.612595820968249</v>
      </c>
      <c r="E30" s="142">
        <f>100*E14/'Tabell 3'!E13</f>
        <v>9.2507309709386618</v>
      </c>
      <c r="F30" s="142">
        <f>100*F14/'Tabell 3'!F13</f>
        <v>10.002989167308879</v>
      </c>
    </row>
    <row r="31" spans="1:12" ht="11.25" customHeight="1" x14ac:dyDescent="0.25">
      <c r="A31" s="71"/>
      <c r="B31" s="10"/>
      <c r="C31" s="10"/>
      <c r="D31" s="10"/>
      <c r="E31" s="10"/>
      <c r="F31" s="10"/>
    </row>
    <row r="32" spans="1:12" ht="11.25" customHeight="1" x14ac:dyDescent="0.25">
      <c r="A32" s="78" t="s">
        <v>11</v>
      </c>
      <c r="B32" s="144">
        <f>100*B16/'Tabell 3'!B15</f>
        <v>11.093061831155147</v>
      </c>
      <c r="C32" s="144">
        <f>100*C16/'Tabell 3'!C15</f>
        <v>12.917796778908526</v>
      </c>
      <c r="D32" s="144">
        <f>100*D16/'Tabell 3'!D15</f>
        <v>12.817595006970798</v>
      </c>
      <c r="E32" s="144">
        <f>100*E16/'Tabell 3'!E15</f>
        <v>11.494910018310557</v>
      </c>
      <c r="F32" s="144">
        <f>100*F16/'Tabell 3'!F15</f>
        <v>12.105138402189684</v>
      </c>
    </row>
    <row r="35" spans="1:12" ht="11.25" customHeight="1" x14ac:dyDescent="0.25">
      <c r="A35" s="471" t="s">
        <v>271</v>
      </c>
      <c r="B35" s="471"/>
      <c r="C35" s="471"/>
      <c r="D35" s="471"/>
      <c r="E35" s="471"/>
      <c r="F35" s="471"/>
      <c r="G35" s="471"/>
      <c r="H35" s="471"/>
      <c r="I35" s="471"/>
      <c r="J35" s="471"/>
      <c r="K35" s="471"/>
      <c r="L35" s="471"/>
    </row>
  </sheetData>
  <mergeCells count="5">
    <mergeCell ref="B3:F3"/>
    <mergeCell ref="B4:F4"/>
    <mergeCell ref="H4:L4"/>
    <mergeCell ref="B20:F20"/>
    <mergeCell ref="A35:L35"/>
  </mergeCells>
  <conditionalFormatting sqref="A35">
    <cfRule type="cellIs" dxfId="2" priority="1" operator="equal">
      <formula>0</formula>
    </cfRule>
  </conditionalFormatting>
  <pageMargins left="0.78740157499999996" right="0.78740157499999996" top="0.984251969" bottom="0.984251969" header="0.5" footer="0.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83"/>
  <sheetViews>
    <sheetView showGridLines="0" zoomScaleNormal="100" workbookViewId="0"/>
  </sheetViews>
  <sheetFormatPr baseColWidth="10" defaultColWidth="11.44140625" defaultRowHeight="11.25" customHeight="1" x14ac:dyDescent="0.25"/>
  <cols>
    <col min="1" max="1" width="54.5546875" style="12" customWidth="1"/>
    <col min="2" max="2" width="12.88671875" style="12" customWidth="1"/>
    <col min="3" max="3" width="10.5546875" style="12" customWidth="1"/>
    <col min="4" max="4" width="10" style="12" customWidth="1"/>
    <col min="5" max="8" width="10.5546875" style="12" customWidth="1"/>
    <col min="9" max="9" width="14.5546875" style="12" customWidth="1"/>
    <col min="10" max="10" width="14" style="12" customWidth="1"/>
    <col min="11" max="18" width="10.5546875" style="12" customWidth="1"/>
    <col min="19" max="16384" width="11.44140625" style="12"/>
  </cols>
  <sheetData>
    <row r="1" spans="1:42" s="17" customFormat="1" ht="12" customHeight="1" x14ac:dyDescent="0.25">
      <c r="A1" s="130" t="str">
        <f>Tabelloversikt!A10</f>
        <v>Tabell 5 Totale driftsinntekter etter finansieringskilde og områdetilknytning 2019 - 2023</v>
      </c>
      <c r="B1" s="131"/>
      <c r="C1" s="130"/>
      <c r="D1" s="130"/>
      <c r="E1" s="130"/>
      <c r="F1" s="130"/>
      <c r="G1" s="130"/>
    </row>
    <row r="2" spans="1:42" s="57" customFormat="1" ht="12" customHeight="1" x14ac:dyDescent="0.25">
      <c r="A2" s="132"/>
      <c r="B2" s="133"/>
      <c r="C2" s="132"/>
      <c r="D2" s="132"/>
      <c r="E2" s="132"/>
      <c r="F2" s="132"/>
      <c r="G2" s="132"/>
    </row>
    <row r="3" spans="1:42" s="5" customFormat="1" ht="20.399999999999999" x14ac:dyDescent="0.2">
      <c r="A3" s="7"/>
      <c r="B3" s="146" t="s">
        <v>7</v>
      </c>
      <c r="C3" s="147" t="s">
        <v>112</v>
      </c>
      <c r="D3" s="147" t="s">
        <v>21</v>
      </c>
      <c r="E3" s="147" t="s">
        <v>9</v>
      </c>
      <c r="F3" s="146" t="s">
        <v>10</v>
      </c>
      <c r="G3" s="147" t="s"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35" customFormat="1" ht="10.8" thickBot="1" x14ac:dyDescent="0.25">
      <c r="A4" s="6"/>
      <c r="B4" s="64"/>
      <c r="C4" s="64"/>
      <c r="D4" s="64"/>
      <c r="E4" s="64"/>
      <c r="F4" s="64"/>
      <c r="G4" s="14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1.25" customHeight="1" x14ac:dyDescent="0.25">
      <c r="A5" s="67">
        <f>A12-1</f>
        <v>2019</v>
      </c>
      <c r="B5" s="68" t="s">
        <v>131</v>
      </c>
      <c r="C5" s="68" t="s">
        <v>131</v>
      </c>
      <c r="D5" s="68" t="s">
        <v>131</v>
      </c>
      <c r="E5" s="68" t="s">
        <v>131</v>
      </c>
      <c r="F5" s="68" t="s">
        <v>131</v>
      </c>
      <c r="G5" s="68" t="s">
        <v>131</v>
      </c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1:42" ht="11.25" customHeight="1" x14ac:dyDescent="0.25">
      <c r="A6" s="71" t="s">
        <v>5</v>
      </c>
      <c r="B6" s="149">
        <v>667569</v>
      </c>
      <c r="C6" s="149">
        <v>499621</v>
      </c>
      <c r="D6" s="139">
        <v>141750</v>
      </c>
      <c r="E6" s="139">
        <v>125529</v>
      </c>
      <c r="F6" s="139">
        <v>36777</v>
      </c>
      <c r="G6" s="149">
        <v>1471246</v>
      </c>
      <c r="H6" s="14"/>
      <c r="I6" s="15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2" ht="11.25" customHeight="1" x14ac:dyDescent="0.25">
      <c r="A7" s="71" t="s">
        <v>108</v>
      </c>
      <c r="B7" s="149">
        <v>635638</v>
      </c>
      <c r="C7" s="149">
        <v>687712</v>
      </c>
      <c r="D7" s="139">
        <v>201703</v>
      </c>
      <c r="E7" s="151">
        <v>178002</v>
      </c>
      <c r="F7" s="139">
        <v>18381</v>
      </c>
      <c r="G7" s="149">
        <v>1721436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42" ht="11.25" customHeight="1" x14ac:dyDescent="0.25">
      <c r="A8" s="71" t="s">
        <v>4</v>
      </c>
      <c r="B8" s="149">
        <v>648082</v>
      </c>
      <c r="C8" s="149">
        <v>959071</v>
      </c>
      <c r="D8" s="139">
        <v>437239</v>
      </c>
      <c r="E8" s="151">
        <v>95638</v>
      </c>
      <c r="F8" s="139">
        <v>30040</v>
      </c>
      <c r="G8" s="149">
        <v>2170070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42" ht="11.25" customHeight="1" x14ac:dyDescent="0.25">
      <c r="A9" s="71" t="s">
        <v>6</v>
      </c>
      <c r="B9" s="149">
        <v>1422656</v>
      </c>
      <c r="C9" s="149">
        <v>979890</v>
      </c>
      <c r="D9" s="139">
        <v>1963351</v>
      </c>
      <c r="E9" s="139">
        <v>865663</v>
      </c>
      <c r="F9" s="139">
        <v>307122</v>
      </c>
      <c r="G9" s="149">
        <v>5538682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42" ht="11.25" customHeight="1" thickBot="1" x14ac:dyDescent="0.3">
      <c r="A10" s="124" t="s">
        <v>107</v>
      </c>
      <c r="B10" s="141">
        <f t="shared" ref="B10:G10" si="0">SUM(B6:B9)</f>
        <v>3373945</v>
      </c>
      <c r="C10" s="141">
        <f t="shared" si="0"/>
        <v>3126294</v>
      </c>
      <c r="D10" s="141">
        <f t="shared" si="0"/>
        <v>2744043</v>
      </c>
      <c r="E10" s="141">
        <f t="shared" si="0"/>
        <v>1264832</v>
      </c>
      <c r="F10" s="141">
        <f t="shared" si="0"/>
        <v>392320</v>
      </c>
      <c r="G10" s="141">
        <f t="shared" si="0"/>
        <v>10901434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42" ht="11.25" customHeight="1" thickBot="1" x14ac:dyDescent="0.3">
      <c r="A11" s="152"/>
      <c r="B11" s="153"/>
      <c r="C11" s="153"/>
      <c r="D11" s="153"/>
      <c r="E11" s="153"/>
      <c r="F11" s="153"/>
      <c r="G11" s="15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42" ht="11.25" customHeight="1" x14ac:dyDescent="0.25">
      <c r="A12" s="67">
        <f>A19-1</f>
        <v>2020</v>
      </c>
      <c r="B12" s="155"/>
      <c r="C12" s="155"/>
      <c r="D12" s="155"/>
      <c r="E12" s="155"/>
      <c r="F12" s="155"/>
      <c r="G12" s="155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42" ht="11.25" customHeight="1" x14ac:dyDescent="0.25">
      <c r="A13" s="71" t="s">
        <v>5</v>
      </c>
      <c r="B13" s="149">
        <v>651748</v>
      </c>
      <c r="C13" s="149">
        <v>486740</v>
      </c>
      <c r="D13" s="149">
        <v>125986</v>
      </c>
      <c r="E13" s="149">
        <v>133274</v>
      </c>
      <c r="F13" s="139">
        <v>38003</v>
      </c>
      <c r="G13" s="149">
        <v>1435751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42" ht="11.25" customHeight="1" x14ac:dyDescent="0.25">
      <c r="A14" s="71" t="s">
        <v>108</v>
      </c>
      <c r="B14" s="149">
        <v>679523</v>
      </c>
      <c r="C14" s="149">
        <v>711001</v>
      </c>
      <c r="D14" s="149">
        <v>198191</v>
      </c>
      <c r="E14" s="156">
        <v>163297</v>
      </c>
      <c r="F14" s="139">
        <v>26969</v>
      </c>
      <c r="G14" s="156">
        <v>1778981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2" ht="11.25" customHeight="1" x14ac:dyDescent="0.25">
      <c r="A15" s="71" t="s">
        <v>4</v>
      </c>
      <c r="B15" s="149">
        <v>619105</v>
      </c>
      <c r="C15" s="149">
        <v>927024</v>
      </c>
      <c r="D15" s="149">
        <v>403098</v>
      </c>
      <c r="E15" s="149">
        <v>113326</v>
      </c>
      <c r="F15" s="139">
        <v>23697</v>
      </c>
      <c r="G15" s="149">
        <v>2086250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2" ht="11.25" customHeight="1" x14ac:dyDescent="0.25">
      <c r="A16" s="71" t="s">
        <v>6</v>
      </c>
      <c r="B16" s="149">
        <v>1505018</v>
      </c>
      <c r="C16" s="149">
        <v>878704</v>
      </c>
      <c r="D16" s="149">
        <v>1991293</v>
      </c>
      <c r="E16" s="149">
        <v>807131</v>
      </c>
      <c r="F16" s="139">
        <v>333653</v>
      </c>
      <c r="G16" s="149">
        <v>5515799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thickBot="1" x14ac:dyDescent="0.3">
      <c r="A17" s="124" t="s">
        <v>107</v>
      </c>
      <c r="B17" s="141">
        <f t="shared" ref="B17:G17" si="1">SUM(B13:B16)</f>
        <v>3455394</v>
      </c>
      <c r="C17" s="141">
        <f t="shared" si="1"/>
        <v>3003469</v>
      </c>
      <c r="D17" s="141">
        <f t="shared" si="1"/>
        <v>2718568</v>
      </c>
      <c r="E17" s="141">
        <f t="shared" si="1"/>
        <v>1217028</v>
      </c>
      <c r="F17" s="141">
        <f t="shared" si="1"/>
        <v>422322</v>
      </c>
      <c r="G17" s="141">
        <f t="shared" si="1"/>
        <v>10816781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thickBot="1" x14ac:dyDescent="0.3">
      <c r="A18" s="152"/>
      <c r="B18" s="153"/>
      <c r="C18" s="153"/>
      <c r="D18" s="153"/>
      <c r="E18" s="153"/>
      <c r="F18" s="153"/>
      <c r="G18" s="15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1.25" customHeight="1" x14ac:dyDescent="0.25">
      <c r="A19" s="67">
        <f>A26-1</f>
        <v>2021</v>
      </c>
      <c r="B19" s="155"/>
      <c r="C19" s="155"/>
      <c r="D19" s="155"/>
      <c r="E19" s="155"/>
      <c r="F19" s="155"/>
      <c r="G19" s="15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5">
      <c r="A20" s="71" t="s">
        <v>5</v>
      </c>
      <c r="B20" s="149">
        <v>738661</v>
      </c>
      <c r="C20" s="149">
        <v>507033</v>
      </c>
      <c r="D20" s="149">
        <v>117031</v>
      </c>
      <c r="E20" s="149">
        <v>143798</v>
      </c>
      <c r="F20" s="139">
        <v>39400</v>
      </c>
      <c r="G20" s="149">
        <v>1545923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5">
      <c r="A21" s="71" t="s">
        <v>108</v>
      </c>
      <c r="B21" s="149">
        <v>713627</v>
      </c>
      <c r="C21" s="149">
        <v>776227</v>
      </c>
      <c r="D21" s="149">
        <v>338396</v>
      </c>
      <c r="E21" s="156">
        <v>207815</v>
      </c>
      <c r="F21" s="139">
        <v>22112</v>
      </c>
      <c r="G21" s="156">
        <v>2058177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5">
      <c r="A22" s="71" t="s">
        <v>4</v>
      </c>
      <c r="B22" s="149">
        <v>659261</v>
      </c>
      <c r="C22" s="149">
        <v>987323</v>
      </c>
      <c r="D22" s="149">
        <v>407615</v>
      </c>
      <c r="E22" s="149">
        <v>102323</v>
      </c>
      <c r="F22" s="139">
        <v>25240</v>
      </c>
      <c r="G22" s="149">
        <v>2181762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1.25" customHeight="1" x14ac:dyDescent="0.25">
      <c r="A23" s="71" t="s">
        <v>6</v>
      </c>
      <c r="B23" s="149">
        <v>1719396</v>
      </c>
      <c r="C23" s="149">
        <v>861809</v>
      </c>
      <c r="D23" s="149">
        <v>2037090</v>
      </c>
      <c r="E23" s="149">
        <v>856720</v>
      </c>
      <c r="F23" s="139">
        <v>390684</v>
      </c>
      <c r="G23" s="149">
        <v>5865699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thickBot="1" x14ac:dyDescent="0.3">
      <c r="A24" s="124" t="s">
        <v>107</v>
      </c>
      <c r="B24" s="141">
        <f t="shared" ref="B24:G24" si="2">SUM(B20:B23)</f>
        <v>3830945</v>
      </c>
      <c r="C24" s="141">
        <f t="shared" si="2"/>
        <v>3132392</v>
      </c>
      <c r="D24" s="141">
        <f t="shared" si="2"/>
        <v>2900132</v>
      </c>
      <c r="E24" s="141">
        <f t="shared" si="2"/>
        <v>1310656</v>
      </c>
      <c r="F24" s="141">
        <f t="shared" si="2"/>
        <v>477436</v>
      </c>
      <c r="G24" s="141">
        <f t="shared" si="2"/>
        <v>11651561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thickBot="1" x14ac:dyDescent="0.3">
      <c r="A25" s="152"/>
      <c r="B25" s="153"/>
      <c r="C25" s="153"/>
      <c r="D25" s="153"/>
      <c r="E25" s="153"/>
      <c r="F25" s="153"/>
      <c r="G25" s="15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1.25" customHeight="1" x14ac:dyDescent="0.25">
      <c r="A26" s="67">
        <f>A33-1</f>
        <v>2022</v>
      </c>
      <c r="B26" s="155"/>
      <c r="C26" s="155"/>
      <c r="D26" s="155"/>
      <c r="E26" s="155"/>
      <c r="F26" s="155"/>
      <c r="G26" s="15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 customHeight="1" x14ac:dyDescent="0.25">
      <c r="A27" s="71" t="s">
        <v>5</v>
      </c>
      <c r="B27" s="149">
        <v>903708</v>
      </c>
      <c r="C27" s="149">
        <v>537929</v>
      </c>
      <c r="D27" s="149">
        <v>106759</v>
      </c>
      <c r="E27" s="149">
        <v>155519</v>
      </c>
      <c r="F27" s="139">
        <v>55714</v>
      </c>
      <c r="G27" s="149">
        <v>1759629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1.25" customHeight="1" x14ac:dyDescent="0.25">
      <c r="A28" s="71" t="s">
        <v>108</v>
      </c>
      <c r="B28" s="149">
        <v>830701</v>
      </c>
      <c r="C28" s="149">
        <v>814451</v>
      </c>
      <c r="D28" s="149">
        <v>389858</v>
      </c>
      <c r="E28" s="156">
        <v>248564</v>
      </c>
      <c r="F28" s="139">
        <v>45474</v>
      </c>
      <c r="G28" s="156">
        <v>2329048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1.25" customHeight="1" x14ac:dyDescent="0.25">
      <c r="A29" s="71" t="s">
        <v>4</v>
      </c>
      <c r="B29" s="149">
        <v>770377</v>
      </c>
      <c r="C29" s="149">
        <v>1101251</v>
      </c>
      <c r="D29" s="149">
        <v>363543</v>
      </c>
      <c r="E29" s="149">
        <v>127966</v>
      </c>
      <c r="F29" s="139">
        <v>61974</v>
      </c>
      <c r="G29" s="149">
        <v>2425111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1.25" customHeight="1" x14ac:dyDescent="0.25">
      <c r="A30" s="71" t="s">
        <v>6</v>
      </c>
      <c r="B30" s="149">
        <v>1875523</v>
      </c>
      <c r="C30" s="149">
        <v>916232</v>
      </c>
      <c r="D30" s="149">
        <v>2144255</v>
      </c>
      <c r="E30" s="149">
        <v>945155</v>
      </c>
      <c r="F30" s="139">
        <v>462258</v>
      </c>
      <c r="G30" s="149">
        <v>6343423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1.25" customHeight="1" thickBot="1" x14ac:dyDescent="0.3">
      <c r="A31" s="124" t="s">
        <v>107</v>
      </c>
      <c r="B31" s="141">
        <f t="shared" ref="B31:G31" si="3">SUM(B27:B30)</f>
        <v>4380309</v>
      </c>
      <c r="C31" s="141">
        <f t="shared" si="3"/>
        <v>3369863</v>
      </c>
      <c r="D31" s="141">
        <f t="shared" si="3"/>
        <v>3004415</v>
      </c>
      <c r="E31" s="141">
        <f t="shared" si="3"/>
        <v>1477204</v>
      </c>
      <c r="F31" s="141">
        <f t="shared" si="3"/>
        <v>625420</v>
      </c>
      <c r="G31" s="141">
        <f t="shared" si="3"/>
        <v>12857211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1.25" customHeight="1" thickBot="1" x14ac:dyDescent="0.3">
      <c r="A32" s="152"/>
      <c r="B32" s="153"/>
      <c r="C32" s="153"/>
      <c r="D32" s="153"/>
      <c r="E32" s="153"/>
      <c r="F32" s="153"/>
      <c r="G32" s="15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1.25" customHeight="1" x14ac:dyDescent="0.25">
      <c r="A33" s="67">
        <v>2023</v>
      </c>
      <c r="B33" s="155"/>
      <c r="C33" s="155"/>
      <c r="D33" s="155"/>
      <c r="E33" s="155"/>
      <c r="F33" s="155"/>
      <c r="G33" s="15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1.25" customHeight="1" x14ac:dyDescent="0.25">
      <c r="A34" s="71" t="s">
        <v>5</v>
      </c>
      <c r="B34" s="149">
        <v>902760</v>
      </c>
      <c r="C34" s="149">
        <v>562889</v>
      </c>
      <c r="D34" s="149">
        <v>105870</v>
      </c>
      <c r="E34" s="149">
        <v>168940</v>
      </c>
      <c r="F34" s="139">
        <v>57167</v>
      </c>
      <c r="G34" s="149">
        <v>1797626</v>
      </c>
      <c r="H34" s="14"/>
      <c r="I34" s="15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1.25" customHeight="1" x14ac:dyDescent="0.25">
      <c r="A35" s="71" t="s">
        <v>108</v>
      </c>
      <c r="B35" s="149">
        <v>895400</v>
      </c>
      <c r="C35" s="149">
        <v>873300</v>
      </c>
      <c r="D35" s="149">
        <v>360529</v>
      </c>
      <c r="E35" s="149">
        <v>330297</v>
      </c>
      <c r="F35" s="139">
        <v>77357</v>
      </c>
      <c r="G35" s="149">
        <v>2536883</v>
      </c>
      <c r="H35" s="14"/>
      <c r="I35" s="15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1.25" customHeight="1" x14ac:dyDescent="0.25">
      <c r="A36" s="71" t="s">
        <v>4</v>
      </c>
      <c r="B36" s="149">
        <v>739615</v>
      </c>
      <c r="C36" s="149">
        <v>1259237</v>
      </c>
      <c r="D36" s="149">
        <v>328046</v>
      </c>
      <c r="E36" s="149">
        <v>144927</v>
      </c>
      <c r="F36" s="139">
        <v>122126</v>
      </c>
      <c r="G36" s="149">
        <v>2593951</v>
      </c>
      <c r="H36" s="14"/>
      <c r="I36" s="15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1.25" customHeight="1" x14ac:dyDescent="0.25">
      <c r="A37" s="71" t="s">
        <v>6</v>
      </c>
      <c r="B37" s="149">
        <v>1963714</v>
      </c>
      <c r="C37" s="149">
        <v>958605</v>
      </c>
      <c r="D37" s="149">
        <v>1791869</v>
      </c>
      <c r="E37" s="149">
        <v>1295276</v>
      </c>
      <c r="F37" s="139">
        <v>466606</v>
      </c>
      <c r="G37" s="149">
        <v>6476070</v>
      </c>
      <c r="H37" s="14"/>
      <c r="I37" s="15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1.25" customHeight="1" thickBot="1" x14ac:dyDescent="0.3">
      <c r="A38" s="124" t="s">
        <v>107</v>
      </c>
      <c r="B38" s="141">
        <f>SUM(B34:B37)</f>
        <v>4501489</v>
      </c>
      <c r="C38" s="141">
        <f t="shared" ref="C38:D38" si="4">SUM(C34:C37)</f>
        <v>3654031</v>
      </c>
      <c r="D38" s="141">
        <f t="shared" si="4"/>
        <v>2586314</v>
      </c>
      <c r="E38" s="141">
        <f>SUM(E34:E37)</f>
        <v>1939440</v>
      </c>
      <c r="F38" s="141">
        <f>SUM(F34:F37)</f>
        <v>723256</v>
      </c>
      <c r="G38" s="141">
        <f>SUM(G34:G37)</f>
        <v>13404530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1.25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1.25" customHeight="1" x14ac:dyDescent="0.25">
      <c r="A40" s="71" t="s">
        <v>182</v>
      </c>
      <c r="C40" s="149"/>
      <c r="T40" s="443"/>
      <c r="V40" s="443"/>
      <c r="W40" s="443"/>
    </row>
    <row r="42" spans="1:23" ht="11.25" customHeight="1" x14ac:dyDescent="0.25">
      <c r="A42" s="130" t="s">
        <v>272</v>
      </c>
    </row>
    <row r="44" spans="1:23" ht="24" customHeight="1" x14ac:dyDescent="0.25">
      <c r="A44" s="7"/>
      <c r="B44" s="146" t="s">
        <v>7</v>
      </c>
      <c r="C44" s="147" t="s">
        <v>112</v>
      </c>
      <c r="D44" s="147" t="s">
        <v>21</v>
      </c>
      <c r="E44" s="147" t="s">
        <v>9</v>
      </c>
      <c r="F44" s="146" t="s">
        <v>10</v>
      </c>
      <c r="G44" s="147" t="s">
        <v>0</v>
      </c>
    </row>
    <row r="45" spans="1:23" ht="11.25" customHeight="1" thickBot="1" x14ac:dyDescent="0.3">
      <c r="A45" s="6"/>
      <c r="B45" s="64"/>
      <c r="C45" s="64"/>
      <c r="D45" s="64"/>
      <c r="E45" s="64"/>
      <c r="F45" s="64"/>
      <c r="G45" s="148"/>
    </row>
    <row r="46" spans="1:23" ht="11.25" customHeight="1" x14ac:dyDescent="0.25">
      <c r="A46" s="67">
        <f>A53-1</f>
        <v>2019</v>
      </c>
      <c r="B46" s="68" t="s">
        <v>3</v>
      </c>
      <c r="C46" s="68" t="s">
        <v>3</v>
      </c>
      <c r="D46" s="68" t="s">
        <v>3</v>
      </c>
      <c r="E46" s="68" t="s">
        <v>3</v>
      </c>
      <c r="F46" s="68" t="s">
        <v>3</v>
      </c>
      <c r="G46" s="68" t="s">
        <v>3</v>
      </c>
    </row>
    <row r="47" spans="1:23" ht="11.25" customHeight="1" x14ac:dyDescent="0.25">
      <c r="A47" s="71" t="s">
        <v>5</v>
      </c>
      <c r="B47" s="75">
        <v>0.45374396939736794</v>
      </c>
      <c r="C47" s="75">
        <v>0.33959038801125035</v>
      </c>
      <c r="D47" s="75">
        <v>9.6346905955904047E-2</v>
      </c>
      <c r="E47" s="75">
        <v>8.5321557373817844E-2</v>
      </c>
      <c r="F47" s="158">
        <v>2.4997179261659844E-2</v>
      </c>
      <c r="G47" s="158">
        <v>1</v>
      </c>
    </row>
    <row r="48" spans="1:23" ht="11.25" customHeight="1" x14ac:dyDescent="0.25">
      <c r="A48" s="71" t="s">
        <v>108</v>
      </c>
      <c r="B48" s="75">
        <v>0.36924869701807095</v>
      </c>
      <c r="C48" s="75">
        <v>0.39949902290878081</v>
      </c>
      <c r="D48" s="75">
        <v>0.11717136158416577</v>
      </c>
      <c r="E48" s="75">
        <v>0.10340320523098158</v>
      </c>
      <c r="F48" s="158">
        <v>1.0677713258000878E-2</v>
      </c>
      <c r="G48" s="158">
        <v>1</v>
      </c>
    </row>
    <row r="49" spans="1:7" ht="11.25" customHeight="1" x14ac:dyDescent="0.25">
      <c r="A49" s="71" t="s">
        <v>4</v>
      </c>
      <c r="B49" s="75">
        <v>0.29864566580801544</v>
      </c>
      <c r="C49" s="75">
        <v>0.4419539461860677</v>
      </c>
      <c r="D49" s="75">
        <v>0.20148612717562106</v>
      </c>
      <c r="E49" s="75">
        <v>4.4071389402185183E-2</v>
      </c>
      <c r="F49" s="158">
        <v>1.3842871428110614E-2</v>
      </c>
      <c r="G49" s="158">
        <v>1</v>
      </c>
    </row>
    <row r="50" spans="1:7" ht="11.25" customHeight="1" x14ac:dyDescent="0.25">
      <c r="A50" s="71" t="s">
        <v>6</v>
      </c>
      <c r="B50" s="75">
        <v>0.25685822006029596</v>
      </c>
      <c r="C50" s="75">
        <v>0.17691754103232502</v>
      </c>
      <c r="D50" s="75">
        <v>0.35447982028937569</v>
      </c>
      <c r="E50" s="75">
        <v>0.15629404251769644</v>
      </c>
      <c r="F50" s="158">
        <v>5.5450376100306897E-2</v>
      </c>
      <c r="G50" s="158">
        <v>1</v>
      </c>
    </row>
    <row r="51" spans="1:7" ht="11.25" customHeight="1" thickBot="1" x14ac:dyDescent="0.3">
      <c r="A51" s="124" t="s">
        <v>107</v>
      </c>
      <c r="B51" s="159">
        <f t="shared" ref="B51:G51" si="5">B10/$G10</f>
        <v>0.30949552141488906</v>
      </c>
      <c r="C51" s="159">
        <f t="shared" si="5"/>
        <v>0.28677823486341336</v>
      </c>
      <c r="D51" s="159">
        <f t="shared" si="5"/>
        <v>0.25171394882544812</v>
      </c>
      <c r="E51" s="159">
        <f t="shared" si="5"/>
        <v>0.11602436890412766</v>
      </c>
      <c r="F51" s="159">
        <f t="shared" si="5"/>
        <v>3.5987925992121771E-2</v>
      </c>
      <c r="G51" s="159">
        <f t="shared" si="5"/>
        <v>1</v>
      </c>
    </row>
    <row r="52" spans="1:7" ht="11.25" customHeight="1" thickBot="1" x14ac:dyDescent="0.3">
      <c r="A52" s="152"/>
      <c r="B52" s="153"/>
      <c r="C52" s="153"/>
      <c r="D52" s="153"/>
      <c r="E52" s="153"/>
      <c r="F52" s="160"/>
      <c r="G52" s="160"/>
    </row>
    <row r="53" spans="1:7" ht="11.25" customHeight="1" x14ac:dyDescent="0.25">
      <c r="A53" s="67">
        <f>A60-1</f>
        <v>2020</v>
      </c>
      <c r="B53" s="155"/>
      <c r="C53" s="155"/>
      <c r="D53" s="155"/>
      <c r="E53" s="155"/>
      <c r="F53" s="161"/>
      <c r="G53" s="161"/>
    </row>
    <row r="54" spans="1:7" ht="11.25" customHeight="1" x14ac:dyDescent="0.25">
      <c r="A54" s="71" t="s">
        <v>5</v>
      </c>
      <c r="B54" s="75">
        <v>0.45394222257201983</v>
      </c>
      <c r="C54" s="75">
        <v>0.33901421625337541</v>
      </c>
      <c r="D54" s="75">
        <v>8.7749198851332852E-2</v>
      </c>
      <c r="E54" s="75">
        <v>9.2825287950347932E-2</v>
      </c>
      <c r="F54" s="158">
        <v>2.6469074372923996E-2</v>
      </c>
      <c r="G54" s="158">
        <v>1</v>
      </c>
    </row>
    <row r="55" spans="1:7" ht="11.25" customHeight="1" x14ac:dyDescent="0.25">
      <c r="A55" s="71" t="s">
        <v>108</v>
      </c>
      <c r="B55" s="75">
        <v>0.38197316328842185</v>
      </c>
      <c r="C55" s="75">
        <v>0.3996675624978569</v>
      </c>
      <c r="D55" s="75">
        <v>0.11140703582556531</v>
      </c>
      <c r="E55" s="75">
        <v>9.17924362317529E-2</v>
      </c>
      <c r="F55" s="158">
        <v>1.5159802156403019E-2</v>
      </c>
      <c r="G55" s="158">
        <v>1</v>
      </c>
    </row>
    <row r="56" spans="1:7" ht="11.25" customHeight="1" x14ac:dyDescent="0.25">
      <c r="A56" s="71" t="s">
        <v>4</v>
      </c>
      <c r="B56" s="75">
        <v>0.29675494307968842</v>
      </c>
      <c r="C56" s="75">
        <v>0.44434943079688438</v>
      </c>
      <c r="D56" s="75">
        <v>0.19321653684841222</v>
      </c>
      <c r="E56" s="75">
        <v>5.4320431396045539E-2</v>
      </c>
      <c r="F56" s="158">
        <v>1.1358657878969444E-2</v>
      </c>
      <c r="G56" s="158">
        <v>1</v>
      </c>
    </row>
    <row r="57" spans="1:7" ht="11.25" customHeight="1" x14ac:dyDescent="0.25">
      <c r="A57" s="71" t="s">
        <v>6</v>
      </c>
      <c r="B57" s="75">
        <v>0.2728558455447706</v>
      </c>
      <c r="C57" s="75">
        <v>0.15930674776220091</v>
      </c>
      <c r="D57" s="75">
        <v>0.36101623717615527</v>
      </c>
      <c r="E57" s="75">
        <v>0.14633074918067174</v>
      </c>
      <c r="F57" s="158">
        <v>6.0490420336201521E-2</v>
      </c>
      <c r="G57" s="158">
        <v>1</v>
      </c>
    </row>
    <row r="58" spans="1:7" ht="11.25" customHeight="1" thickBot="1" x14ac:dyDescent="0.3">
      <c r="A58" s="124" t="s">
        <v>107</v>
      </c>
      <c r="B58" s="159">
        <f t="shared" ref="B58:G58" si="6">B17/$G17</f>
        <v>0.31944753249603558</v>
      </c>
      <c r="C58" s="159">
        <f t="shared" si="6"/>
        <v>0.2776675426820604</v>
      </c>
      <c r="D58" s="159">
        <f t="shared" si="6"/>
        <v>0.25132874558521617</v>
      </c>
      <c r="E58" s="159">
        <f t="shared" si="6"/>
        <v>0.11251295556413687</v>
      </c>
      <c r="F58" s="159">
        <f t="shared" si="6"/>
        <v>3.904322367255101E-2</v>
      </c>
      <c r="G58" s="159">
        <f t="shared" si="6"/>
        <v>1</v>
      </c>
    </row>
    <row r="59" spans="1:7" ht="11.25" customHeight="1" thickBot="1" x14ac:dyDescent="0.3">
      <c r="A59" s="152"/>
      <c r="B59" s="153"/>
      <c r="C59" s="153"/>
      <c r="D59" s="153"/>
      <c r="E59" s="153"/>
      <c r="F59" s="160"/>
      <c r="G59" s="160"/>
    </row>
    <row r="60" spans="1:7" ht="11.25" customHeight="1" x14ac:dyDescent="0.25">
      <c r="A60" s="67">
        <f>A67-1</f>
        <v>2021</v>
      </c>
      <c r="B60" s="155"/>
      <c r="C60" s="155"/>
      <c r="D60" s="155"/>
      <c r="E60" s="155"/>
      <c r="F60" s="161"/>
      <c r="G60" s="161"/>
    </row>
    <row r="61" spans="1:7" ht="11.25" customHeight="1" x14ac:dyDescent="0.25">
      <c r="A61" s="71" t="s">
        <v>5</v>
      </c>
      <c r="B61" s="75">
        <v>0.47781228431170247</v>
      </c>
      <c r="C61" s="75">
        <v>0.32798075971442303</v>
      </c>
      <c r="D61" s="75">
        <v>7.5702994262974291E-2</v>
      </c>
      <c r="E61" s="75">
        <v>9.3017569439098849E-2</v>
      </c>
      <c r="F61" s="158">
        <v>2.5486392271801377E-2</v>
      </c>
      <c r="G61" s="158">
        <v>1</v>
      </c>
    </row>
    <row r="62" spans="1:7" ht="11.25" customHeight="1" x14ac:dyDescent="0.25">
      <c r="A62" s="71" t="s">
        <v>108</v>
      </c>
      <c r="B62" s="75">
        <v>0.34672771097918204</v>
      </c>
      <c r="C62" s="75">
        <v>0.37714297652728607</v>
      </c>
      <c r="D62" s="75">
        <v>0.16441540256255902</v>
      </c>
      <c r="E62" s="75">
        <v>0.10097042188305476</v>
      </c>
      <c r="F62" s="158">
        <v>1.0743488047918134E-2</v>
      </c>
      <c r="G62" s="158">
        <v>1</v>
      </c>
    </row>
    <row r="63" spans="1:7" ht="11.25" customHeight="1" x14ac:dyDescent="0.25">
      <c r="A63" s="71" t="s">
        <v>4</v>
      </c>
      <c r="B63" s="75">
        <v>0.30216907252028408</v>
      </c>
      <c r="C63" s="75">
        <v>0.45253469443504835</v>
      </c>
      <c r="D63" s="75">
        <v>0.18682835249674346</v>
      </c>
      <c r="E63" s="75">
        <v>4.6899249322336717E-2</v>
      </c>
      <c r="F63" s="158">
        <v>1.1568631225587392E-2</v>
      </c>
      <c r="G63" s="158">
        <v>1</v>
      </c>
    </row>
    <row r="64" spans="1:7" ht="11.25" customHeight="1" x14ac:dyDescent="0.25">
      <c r="A64" s="71" t="s">
        <v>6</v>
      </c>
      <c r="B64" s="75">
        <v>0.29312721297154865</v>
      </c>
      <c r="C64" s="75">
        <v>0.14692349539245025</v>
      </c>
      <c r="D64" s="75">
        <v>0.34728853287562145</v>
      </c>
      <c r="E64" s="75">
        <v>0.14605590910818983</v>
      </c>
      <c r="F64" s="158">
        <v>6.6604849652189796E-2</v>
      </c>
      <c r="G64" s="158">
        <v>1</v>
      </c>
    </row>
    <row r="65" spans="1:7" ht="11.25" customHeight="1" thickBot="1" x14ac:dyDescent="0.3">
      <c r="A65" s="124" t="s">
        <v>107</v>
      </c>
      <c r="B65" s="159">
        <f t="shared" ref="B65:G65" si="7">B24/$G24</f>
        <v>0.32879242532395447</v>
      </c>
      <c r="C65" s="159">
        <f t="shared" si="7"/>
        <v>0.26883882769012668</v>
      </c>
      <c r="D65" s="159">
        <f t="shared" si="7"/>
        <v>0.24890501796282918</v>
      </c>
      <c r="E65" s="159">
        <f t="shared" si="7"/>
        <v>0.11248758857289594</v>
      </c>
      <c r="F65" s="159">
        <f t="shared" si="7"/>
        <v>4.0976140450193758E-2</v>
      </c>
      <c r="G65" s="159">
        <f t="shared" si="7"/>
        <v>1</v>
      </c>
    </row>
    <row r="66" spans="1:7" ht="11.25" customHeight="1" thickBot="1" x14ac:dyDescent="0.3">
      <c r="A66" s="152"/>
      <c r="B66" s="153"/>
      <c r="C66" s="153"/>
      <c r="D66" s="153"/>
      <c r="E66" s="153"/>
      <c r="F66" s="160"/>
      <c r="G66" s="160"/>
    </row>
    <row r="67" spans="1:7" ht="11.25" customHeight="1" x14ac:dyDescent="0.25">
      <c r="A67" s="67">
        <f>A74-1</f>
        <v>2022</v>
      </c>
      <c r="B67" s="155"/>
      <c r="C67" s="155"/>
      <c r="D67" s="155"/>
      <c r="E67" s="155"/>
      <c r="F67" s="161"/>
      <c r="G67" s="161"/>
    </row>
    <row r="68" spans="1:7" ht="11.25" customHeight="1" x14ac:dyDescent="0.25">
      <c r="A68" s="71" t="s">
        <v>5</v>
      </c>
      <c r="B68" s="75">
        <v>0.51357871460404436</v>
      </c>
      <c r="C68" s="75">
        <v>0.30570591869081493</v>
      </c>
      <c r="D68" s="75">
        <v>6.0671311964056063E-2</v>
      </c>
      <c r="E68" s="75">
        <v>8.8381698642156961E-2</v>
      </c>
      <c r="F68" s="158">
        <v>3.1662356098927674E-2</v>
      </c>
      <c r="G68" s="158">
        <v>1</v>
      </c>
    </row>
    <row r="69" spans="1:7" ht="11.25" customHeight="1" x14ac:dyDescent="0.25">
      <c r="A69" s="71" t="s">
        <v>108</v>
      </c>
      <c r="B69" s="75">
        <v>0.35666976378331405</v>
      </c>
      <c r="C69" s="75">
        <v>0.3496926641271455</v>
      </c>
      <c r="D69" s="75">
        <v>0.16738942263104925</v>
      </c>
      <c r="E69" s="75">
        <v>0.10672343378066919</v>
      </c>
      <c r="F69" s="158">
        <v>1.9524715677822012E-2</v>
      </c>
      <c r="G69" s="158">
        <v>1</v>
      </c>
    </row>
    <row r="70" spans="1:7" ht="11.25" customHeight="1" x14ac:dyDescent="0.25">
      <c r="A70" s="71" t="s">
        <v>4</v>
      </c>
      <c r="B70" s="75">
        <v>0.31766669649348012</v>
      </c>
      <c r="C70" s="75">
        <v>0.45410333795030411</v>
      </c>
      <c r="D70" s="75">
        <v>0.14990777741719863</v>
      </c>
      <c r="E70" s="75">
        <v>5.2767069218687311E-2</v>
      </c>
      <c r="F70" s="158">
        <v>2.5555118920329831E-2</v>
      </c>
      <c r="G70" s="158">
        <v>1</v>
      </c>
    </row>
    <row r="71" spans="1:7" ht="11.25" customHeight="1" x14ac:dyDescent="0.25">
      <c r="A71" s="71" t="s">
        <v>6</v>
      </c>
      <c r="B71" s="75">
        <v>0.29566418635490649</v>
      </c>
      <c r="C71" s="75">
        <v>0.14443810542037006</v>
      </c>
      <c r="D71" s="75">
        <v>0.33802806465846597</v>
      </c>
      <c r="E71" s="75">
        <v>0.14899763108971292</v>
      </c>
      <c r="F71" s="158">
        <v>7.2872012476544609E-2</v>
      </c>
      <c r="G71" s="158">
        <v>1</v>
      </c>
    </row>
    <row r="72" spans="1:7" ht="11.25" customHeight="1" thickBot="1" x14ac:dyDescent="0.3">
      <c r="A72" s="124" t="s">
        <v>107</v>
      </c>
      <c r="B72" s="159">
        <f t="shared" ref="B72:G72" si="8">B31/$G31</f>
        <v>0.34068889434885996</v>
      </c>
      <c r="C72" s="159">
        <f t="shared" si="8"/>
        <v>0.26209906643050346</v>
      </c>
      <c r="D72" s="159">
        <f t="shared" si="8"/>
        <v>0.23367548374215838</v>
      </c>
      <c r="E72" s="159">
        <f t="shared" si="8"/>
        <v>0.11489303551135624</v>
      </c>
      <c r="F72" s="159">
        <f t="shared" si="8"/>
        <v>4.8643519967121955E-2</v>
      </c>
      <c r="G72" s="159">
        <f t="shared" si="8"/>
        <v>1</v>
      </c>
    </row>
    <row r="73" spans="1:7" ht="11.25" customHeight="1" thickBot="1" x14ac:dyDescent="0.3">
      <c r="A73" s="152"/>
      <c r="B73" s="153"/>
      <c r="C73" s="153"/>
      <c r="D73" s="153"/>
      <c r="E73" s="153"/>
      <c r="F73" s="160"/>
      <c r="G73" s="160"/>
    </row>
    <row r="74" spans="1:7" ht="11.25" customHeight="1" x14ac:dyDescent="0.25">
      <c r="A74" s="67">
        <v>2023</v>
      </c>
      <c r="B74" s="155"/>
      <c r="C74" s="155"/>
      <c r="D74" s="155"/>
      <c r="E74" s="155"/>
      <c r="F74" s="161"/>
      <c r="G74" s="161"/>
    </row>
    <row r="75" spans="1:7" ht="11.25" customHeight="1" x14ac:dyDescent="0.25">
      <c r="A75" s="71" t="s">
        <v>5</v>
      </c>
      <c r="B75" s="75">
        <v>0.50219567362732853</v>
      </c>
      <c r="C75" s="75">
        <v>0.31312909359343932</v>
      </c>
      <c r="D75" s="75">
        <v>5.8894341759631867E-2</v>
      </c>
      <c r="E75" s="75">
        <v>9.3979504079268986E-2</v>
      </c>
      <c r="F75" s="158">
        <v>3.1801386940331307E-2</v>
      </c>
      <c r="G75" s="158">
        <v>1</v>
      </c>
    </row>
    <row r="76" spans="1:7" ht="11.25" customHeight="1" x14ac:dyDescent="0.25">
      <c r="A76" s="71" t="s">
        <v>108</v>
      </c>
      <c r="B76" s="75">
        <v>0.35295281650750154</v>
      </c>
      <c r="C76" s="75">
        <v>0.34424133868215445</v>
      </c>
      <c r="D76" s="75">
        <v>0.14211494972373578</v>
      </c>
      <c r="E76" s="75">
        <v>0.13019796340627454</v>
      </c>
      <c r="F76" s="158">
        <v>3.04929316803337E-2</v>
      </c>
      <c r="G76" s="158">
        <v>1</v>
      </c>
    </row>
    <row r="77" spans="1:7" ht="11.25" customHeight="1" x14ac:dyDescent="0.25">
      <c r="A77" s="71" t="s">
        <v>4</v>
      </c>
      <c r="B77" s="75">
        <v>0.285130675174666</v>
      </c>
      <c r="C77" s="75">
        <v>0.48545134430064407</v>
      </c>
      <c r="D77" s="75">
        <v>0.12646576593004263</v>
      </c>
      <c r="E77" s="75">
        <v>5.5871140202725496E-2</v>
      </c>
      <c r="F77" s="158">
        <v>4.7081074391921822E-2</v>
      </c>
      <c r="G77" s="158">
        <v>1</v>
      </c>
    </row>
    <row r="78" spans="1:7" ht="11.25" customHeight="1" x14ac:dyDescent="0.25">
      <c r="A78" s="71" t="s">
        <v>6</v>
      </c>
      <c r="B78" s="75">
        <v>0.30322618501653009</v>
      </c>
      <c r="C78" s="75">
        <v>0.14802264336240961</v>
      </c>
      <c r="D78" s="75">
        <v>0.27669080167447235</v>
      </c>
      <c r="E78" s="75">
        <v>0.20000957370751088</v>
      </c>
      <c r="F78" s="158">
        <v>7.2050796239077092E-2</v>
      </c>
      <c r="G78" s="158">
        <v>1</v>
      </c>
    </row>
    <row r="79" spans="1:7" ht="11.25" customHeight="1" thickBot="1" x14ac:dyDescent="0.3">
      <c r="A79" s="124" t="s">
        <v>107</v>
      </c>
      <c r="B79" s="159">
        <f t="shared" ref="B79:G79" si="9">B38/$G38</f>
        <v>0.33581848822748728</v>
      </c>
      <c r="C79" s="159">
        <f t="shared" si="9"/>
        <v>0.27259672662898288</v>
      </c>
      <c r="D79" s="159">
        <f t="shared" si="9"/>
        <v>0.19294328111466796</v>
      </c>
      <c r="E79" s="159">
        <f t="shared" si="9"/>
        <v>0.14468541604964888</v>
      </c>
      <c r="F79" s="159">
        <f t="shared" si="9"/>
        <v>5.3956087979212995E-2</v>
      </c>
      <c r="G79" s="159">
        <f t="shared" si="9"/>
        <v>1</v>
      </c>
    </row>
    <row r="81" spans="1:1" ht="11.25" customHeight="1" x14ac:dyDescent="0.25">
      <c r="A81" s="71"/>
    </row>
    <row r="82" spans="1:1" ht="11.25" customHeight="1" x14ac:dyDescent="0.25">
      <c r="A82" s="71"/>
    </row>
    <row r="83" spans="1:1" ht="11.25" customHeight="1" x14ac:dyDescent="0.25">
      <c r="A83" s="71"/>
    </row>
  </sheetData>
  <pageMargins left="0.78740157499999996" right="0.78740157499999996" top="0.984251969" bottom="0.984251969" header="0.5" footer="0.5"/>
  <pageSetup paperSize="9" scale="83" orientation="landscape" r:id="rId1"/>
  <headerFooter alignWithMargins="0"/>
  <rowBreaks count="1" manualBreakCount="1">
    <brk id="4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P37"/>
  <sheetViews>
    <sheetView showGridLines="0" zoomScale="130" zoomScaleNormal="130" workbookViewId="0"/>
  </sheetViews>
  <sheetFormatPr baseColWidth="10" defaultColWidth="11.44140625" defaultRowHeight="11.25" customHeight="1" x14ac:dyDescent="0.25"/>
  <cols>
    <col min="1" max="1" width="45" style="12" customWidth="1"/>
    <col min="2" max="2" width="10.5546875" style="12" customWidth="1"/>
    <col min="3" max="3" width="10" style="12" customWidth="1"/>
    <col min="4" max="6" width="10.5546875" style="12" customWidth="1"/>
    <col min="7" max="7" width="22.5546875" style="12" customWidth="1"/>
    <col min="8" max="8" width="15.44140625" style="12" customWidth="1"/>
    <col min="9" max="9" width="14.5546875" style="12" customWidth="1"/>
    <col min="10" max="10" width="14" style="12" customWidth="1"/>
    <col min="11" max="18" width="10.5546875" style="12" customWidth="1"/>
    <col min="19" max="16384" width="11.44140625" style="12"/>
  </cols>
  <sheetData>
    <row r="1" spans="1:42" s="17" customFormat="1" ht="12" customHeight="1" x14ac:dyDescent="0.25">
      <c r="A1" s="130" t="str">
        <f>Tabelloversikt!A11</f>
        <v>Tabell 6 Nasjonale oppdragsinntekter etter finansieringskilde og områdetilknytning 2021 - 2023</v>
      </c>
      <c r="B1" s="130"/>
      <c r="C1" s="130"/>
      <c r="D1" s="130"/>
      <c r="E1" s="130"/>
    </row>
    <row r="2" spans="1:42" s="57" customFormat="1" ht="12" customHeight="1" x14ac:dyDescent="0.25">
      <c r="A2" s="132"/>
      <c r="B2" s="132"/>
      <c r="C2" s="132"/>
      <c r="D2" s="132"/>
      <c r="E2" s="132"/>
    </row>
    <row r="3" spans="1:42" s="5" customFormat="1" ht="20.399999999999999" x14ac:dyDescent="0.2">
      <c r="A3" s="7"/>
      <c r="B3" s="147" t="s">
        <v>112</v>
      </c>
      <c r="C3" s="147" t="s">
        <v>21</v>
      </c>
      <c r="D3" s="146" t="s">
        <v>10</v>
      </c>
      <c r="E3" s="147" t="s">
        <v>30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s="135" customFormat="1" ht="10.199999999999999" x14ac:dyDescent="0.2">
      <c r="A4" s="162"/>
      <c r="B4" s="163" t="s">
        <v>131</v>
      </c>
      <c r="C4" s="163" t="s">
        <v>131</v>
      </c>
      <c r="D4" s="163" t="s">
        <v>131</v>
      </c>
      <c r="E4" s="163" t="s">
        <v>131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11.25" customHeight="1" thickBot="1" x14ac:dyDescent="0.3">
      <c r="A5" s="152"/>
      <c r="B5" s="153"/>
      <c r="C5" s="153"/>
      <c r="D5" s="153"/>
      <c r="E5" s="15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42" ht="11.25" customHeight="1" x14ac:dyDescent="0.25">
      <c r="A6" s="67">
        <f>A13-1</f>
        <v>2021</v>
      </c>
      <c r="B6" s="68" t="s">
        <v>131</v>
      </c>
      <c r="C6" s="68" t="s">
        <v>131</v>
      </c>
      <c r="D6" s="68" t="s">
        <v>131</v>
      </c>
      <c r="E6" s="68" t="s">
        <v>131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42" ht="11.25" customHeight="1" x14ac:dyDescent="0.25">
      <c r="A7" s="71" t="s">
        <v>5</v>
      </c>
      <c r="B7" s="149">
        <v>247332</v>
      </c>
      <c r="C7" s="149">
        <v>99208</v>
      </c>
      <c r="D7" s="139">
        <v>12129</v>
      </c>
      <c r="E7" s="149">
        <v>358669</v>
      </c>
      <c r="F7" s="14"/>
      <c r="G7" s="14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42" ht="11.25" customHeight="1" x14ac:dyDescent="0.25">
      <c r="A8" s="71" t="s">
        <v>108</v>
      </c>
      <c r="B8" s="149">
        <v>509745</v>
      </c>
      <c r="C8" s="149">
        <v>286174</v>
      </c>
      <c r="D8" s="139">
        <v>10826</v>
      </c>
      <c r="E8" s="156">
        <v>806745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42" ht="11.25" customHeight="1" x14ac:dyDescent="0.25">
      <c r="A9" s="71" t="s">
        <v>4</v>
      </c>
      <c r="B9" s="149">
        <v>223335</v>
      </c>
      <c r="C9" s="149">
        <v>355064</v>
      </c>
      <c r="D9" s="139">
        <v>1088</v>
      </c>
      <c r="E9" s="149">
        <v>579487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42" ht="11.25" customHeight="1" x14ac:dyDescent="0.25">
      <c r="A10" s="71" t="s">
        <v>6</v>
      </c>
      <c r="B10" s="149">
        <v>271487</v>
      </c>
      <c r="C10" s="149">
        <v>1678680</v>
      </c>
      <c r="D10" s="139">
        <v>6934</v>
      </c>
      <c r="E10" s="149">
        <v>1957101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42" ht="11.25" customHeight="1" thickBot="1" x14ac:dyDescent="0.3">
      <c r="A11" s="124" t="s">
        <v>107</v>
      </c>
      <c r="B11" s="141">
        <f t="shared" ref="B11:D11" si="0">SUM(B7:B10)</f>
        <v>1251899</v>
      </c>
      <c r="C11" s="141">
        <f t="shared" si="0"/>
        <v>2419126</v>
      </c>
      <c r="D11" s="141">
        <f t="shared" si="0"/>
        <v>30977</v>
      </c>
      <c r="E11" s="141">
        <f>SUM(E7:E10)</f>
        <v>3702002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42" ht="11.25" customHeight="1" thickBot="1" x14ac:dyDescent="0.3">
      <c r="A12" s="152"/>
      <c r="B12" s="153"/>
      <c r="C12" s="153"/>
      <c r="D12" s="153"/>
      <c r="E12" s="15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42" ht="11.25" customHeight="1" x14ac:dyDescent="0.25">
      <c r="A13" s="67">
        <f>A20-1</f>
        <v>2022</v>
      </c>
      <c r="B13" s="68" t="s">
        <v>131</v>
      </c>
      <c r="C13" s="68" t="s">
        <v>131</v>
      </c>
      <c r="D13" s="68" t="s">
        <v>131</v>
      </c>
      <c r="E13" s="68" t="s">
        <v>131</v>
      </c>
      <c r="F13" s="14"/>
      <c r="G13" s="14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42" ht="11.25" customHeight="1" x14ac:dyDescent="0.25">
      <c r="A14" s="71" t="s">
        <v>5</v>
      </c>
      <c r="B14" s="149">
        <v>237922</v>
      </c>
      <c r="C14" s="149">
        <v>93267</v>
      </c>
      <c r="D14" s="139">
        <v>20125</v>
      </c>
      <c r="E14" s="149">
        <v>351314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42" ht="11.25" customHeight="1" x14ac:dyDescent="0.25">
      <c r="A15" s="71" t="s">
        <v>108</v>
      </c>
      <c r="B15" s="149">
        <v>541400</v>
      </c>
      <c r="C15" s="149">
        <v>337950</v>
      </c>
      <c r="D15" s="139">
        <v>27343</v>
      </c>
      <c r="E15" s="156">
        <v>906693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42" ht="11.25" customHeight="1" x14ac:dyDescent="0.25">
      <c r="A16" s="71" t="s">
        <v>4</v>
      </c>
      <c r="B16" s="149">
        <v>186941</v>
      </c>
      <c r="C16" s="149">
        <v>288790</v>
      </c>
      <c r="D16" s="139">
        <v>610</v>
      </c>
      <c r="E16" s="149">
        <v>476341</v>
      </c>
      <c r="F16" s="14"/>
      <c r="G16" s="15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1.25" customHeight="1" x14ac:dyDescent="0.25">
      <c r="A17" s="71" t="s">
        <v>6</v>
      </c>
      <c r="B17" s="149">
        <v>331256</v>
      </c>
      <c r="C17" s="149">
        <v>1761187</v>
      </c>
      <c r="D17" s="139">
        <v>11107</v>
      </c>
      <c r="E17" s="149">
        <v>2103550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1.25" customHeight="1" thickBot="1" x14ac:dyDescent="0.3">
      <c r="A18" s="124" t="s">
        <v>107</v>
      </c>
      <c r="B18" s="141">
        <f t="shared" ref="B18:E18" si="1">SUM(B14:B17)</f>
        <v>1297519</v>
      </c>
      <c r="C18" s="141">
        <f t="shared" si="1"/>
        <v>2481194</v>
      </c>
      <c r="D18" s="141">
        <f t="shared" si="1"/>
        <v>59185</v>
      </c>
      <c r="E18" s="141">
        <f t="shared" si="1"/>
        <v>3837898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1.25" customHeight="1" thickBot="1" x14ac:dyDescent="0.3">
      <c r="A19" s="152"/>
      <c r="B19" s="153"/>
      <c r="C19" s="153"/>
      <c r="D19" s="153"/>
      <c r="E19" s="15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1.25" customHeight="1" x14ac:dyDescent="0.25">
      <c r="A20" s="67">
        <v>2023</v>
      </c>
      <c r="B20" s="68" t="s">
        <v>131</v>
      </c>
      <c r="C20" s="68" t="s">
        <v>131</v>
      </c>
      <c r="D20" s="68" t="s">
        <v>131</v>
      </c>
      <c r="E20" s="68" t="s">
        <v>131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1.25" customHeight="1" x14ac:dyDescent="0.25">
      <c r="A21" s="71" t="s">
        <v>5</v>
      </c>
      <c r="B21" s="149">
        <v>253401</v>
      </c>
      <c r="C21" s="149">
        <v>89953</v>
      </c>
      <c r="D21" s="139">
        <v>14838</v>
      </c>
      <c r="E21" s="149">
        <v>358192</v>
      </c>
      <c r="F21" s="14"/>
      <c r="G21" s="149"/>
      <c r="H21" s="149"/>
      <c r="I21" s="15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1.25" customHeight="1" x14ac:dyDescent="0.25">
      <c r="A22" s="71" t="s">
        <v>108</v>
      </c>
      <c r="B22" s="149">
        <v>550293</v>
      </c>
      <c r="C22" s="149">
        <v>307670</v>
      </c>
      <c r="D22" s="139">
        <v>53957</v>
      </c>
      <c r="E22" s="149">
        <v>911920</v>
      </c>
      <c r="F22" s="14"/>
      <c r="G22" s="149"/>
      <c r="H22" s="149"/>
      <c r="I22" s="15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1.25" customHeight="1" x14ac:dyDescent="0.25">
      <c r="A23" s="71" t="s">
        <v>4</v>
      </c>
      <c r="B23" s="149">
        <v>227898</v>
      </c>
      <c r="C23" s="149">
        <v>221483</v>
      </c>
      <c r="D23" s="139">
        <v>21567</v>
      </c>
      <c r="E23" s="149">
        <v>470948</v>
      </c>
      <c r="F23" s="14"/>
      <c r="G23" s="149"/>
      <c r="H23" s="149"/>
      <c r="I23" s="15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1.25" customHeight="1" x14ac:dyDescent="0.25">
      <c r="A24" s="71" t="s">
        <v>6</v>
      </c>
      <c r="B24" s="149">
        <v>317188</v>
      </c>
      <c r="C24" s="149">
        <v>1497900</v>
      </c>
      <c r="D24" s="139">
        <v>83678</v>
      </c>
      <c r="E24" s="149">
        <v>1898766</v>
      </c>
      <c r="F24" s="14"/>
      <c r="G24" s="149"/>
      <c r="H24" s="149"/>
      <c r="I24" s="15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1.25" customHeight="1" thickBot="1" x14ac:dyDescent="0.3">
      <c r="A25" s="124" t="s">
        <v>107</v>
      </c>
      <c r="B25" s="141">
        <f t="shared" ref="B25:C25" si="2">SUM(B21:B24)</f>
        <v>1348780</v>
      </c>
      <c r="C25" s="141">
        <f t="shared" si="2"/>
        <v>2117006</v>
      </c>
      <c r="D25" s="141">
        <f>SUM(D21:D24)</f>
        <v>174040</v>
      </c>
      <c r="E25" s="141">
        <f>SUM(E21:E24)</f>
        <v>3639826</v>
      </c>
      <c r="F25" s="14"/>
      <c r="G25" s="14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1.25" customHeight="1" x14ac:dyDescent="0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1.25" customHeight="1" x14ac:dyDescent="0.25">
      <c r="A27" s="71" t="s">
        <v>177</v>
      </c>
      <c r="B27" s="149"/>
    </row>
    <row r="37" spans="1:1" ht="11.25" customHeight="1" x14ac:dyDescent="0.25">
      <c r="A37" s="145"/>
    </row>
  </sheetData>
  <pageMargins left="0.78740157499999996" right="0.78740157499999996" top="0.984251969" bottom="0.984251969" header="0.5" footer="0.5"/>
  <pageSetup paperSize="9"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a13a8-ff43-4ca6-9bec-5b64dcde6bf6">
      <Terms xmlns="http://schemas.microsoft.com/office/infopath/2007/PartnerControls"/>
    </lcf76f155ced4ddcb4097134ff3c332f>
    <Dokumenttype xmlns="feaa13a8-ff43-4ca6-9bec-5b64dcde6bf6" xsi:nil="true"/>
    <M_x00f8_tedato xmlns="feaa13a8-ff43-4ca6-9bec-5b64dcde6bf6" xsi:nil="true"/>
    <Tema xmlns="feaa13a8-ff43-4ca6-9bec-5b64dcde6bf6" xsi:nil="true"/>
    <Kanal xmlns="feaa13a8-ff43-4ca6-9bec-5b64dcde6bf6" xsi:nil="true"/>
    <TaxCatchAll xmlns="b698ac79-4e05-437f-8025-203a531218a5" xsi:nil="true"/>
    <o555f8cf5d90444ca1fa4607ada592d4 xmlns="feaa13a8-ff43-4ca6-9bec-5b64dcde6bf6">
      <Terms xmlns="http://schemas.microsoft.com/office/infopath/2007/PartnerControls"/>
    </o555f8cf5d90444ca1fa4607ada592d4>
    <n9672ec110ad4304bbf5de3054926027 xmlns="feaa13a8-ff43-4ca6-9bec-5b64dcde6bf6">
      <Terms xmlns="http://schemas.microsoft.com/office/infopath/2007/PartnerControls"/>
    </n9672ec110ad4304bbf5de3054926027>
    <M_x00e5_lgruppe xmlns="feaa13a8-ff43-4ca6-9bec-5b64dcde6b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31" ma:contentTypeDescription="Opprett et nytt dokument." ma:contentTypeScope="" ma:versionID="337f4a33753b1e9732189684c7e63b07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61472f1ab3d98dd6e02a168d76d622f5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  <xsd:element ref="ns2:M_x00f8_te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_x00f8_tedato" ma:index="33" nillable="true" ma:displayName="Møtedato" ma:format="DateOnly" ma:internalName="M_x00f8_tedato">
      <xsd:simpleType>
        <xsd:restriction base="dms:DateTime"/>
      </xsd:simpleType>
    </xsd:element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345DCF-536E-4274-9882-FDA241C24DE5}">
  <ds:schemaRefs>
    <ds:schemaRef ds:uri="http://schemas.microsoft.com/office/2006/metadata/properties"/>
    <ds:schemaRef ds:uri="http://schemas.microsoft.com/office/infopath/2007/PartnerControls"/>
    <ds:schemaRef ds:uri="1b6be274-c9df-4c57-acb9-b2892277be26"/>
  </ds:schemaRefs>
</ds:datastoreItem>
</file>

<file path=customXml/itemProps2.xml><?xml version="1.0" encoding="utf-8"?>
<ds:datastoreItem xmlns:ds="http://schemas.openxmlformats.org/officeDocument/2006/customXml" ds:itemID="{2ED8F169-34A3-4B90-B755-8F92244195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490966-19DA-4894-9A75-17DA6E1A48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24</vt:i4>
      </vt:variant>
      <vt:variant>
        <vt:lpstr>Navngitte områder</vt:lpstr>
      </vt:variant>
      <vt:variant>
        <vt:i4>29</vt:i4>
      </vt:variant>
    </vt:vector>
  </HeadingPairs>
  <TitlesOfParts>
    <vt:vector size="53" baseType="lpstr">
      <vt:lpstr>1. Instituttoversikt</vt:lpstr>
      <vt:lpstr>Tabelloversikt</vt:lpstr>
      <vt:lpstr>Tabell 1</vt:lpstr>
      <vt:lpstr>Tabell 2</vt:lpstr>
      <vt:lpstr>Tabell 2b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20</vt:lpstr>
      <vt:lpstr>Egenkapital og gjeld</vt:lpstr>
      <vt:lpstr>'1. Instituttoversikt'!EksterneData13_10</vt:lpstr>
      <vt:lpstr>'1. Instituttoversikt'!EksterneData13_11</vt:lpstr>
      <vt:lpstr>'1. Instituttoversikt'!EksterneData13_13</vt:lpstr>
      <vt:lpstr>'1. Instituttoversikt'!EksterneData13_2</vt:lpstr>
      <vt:lpstr>'1. Instituttoversikt'!EksterneData13_4</vt:lpstr>
      <vt:lpstr>'1. Instituttoversikt'!EksterneData13_8</vt:lpstr>
      <vt:lpstr>'1. Instituttoversikt'!EksterneData13_9</vt:lpstr>
      <vt:lpstr>'Tabell 18'!EksterneData17</vt:lpstr>
      <vt:lpstr>'Tabell 7'!EksterneData17</vt:lpstr>
      <vt:lpstr>'Tabell 7'!EksterneData18</vt:lpstr>
      <vt:lpstr>'Tabell 12'!EksterneData3_1</vt:lpstr>
      <vt:lpstr>'Tabell 17'!EksterneData3_1</vt:lpstr>
      <vt:lpstr>'Tabell 12'!EksterneData3_2</vt:lpstr>
      <vt:lpstr>'Tabell 12'!EksterneData386_1</vt:lpstr>
      <vt:lpstr>'Tabell 17'!EksterneData386_1</vt:lpstr>
      <vt:lpstr>'Tabell 12'!EksterneData386_2</vt:lpstr>
      <vt:lpstr>'1. Instituttoversikt'!Utskriftsområde</vt:lpstr>
      <vt:lpstr>'Tabell 1'!Utskriftsområde</vt:lpstr>
      <vt:lpstr>'Tabell 10'!Utskriftsområde</vt:lpstr>
      <vt:lpstr>'Tabell 11'!Utskriftsområde</vt:lpstr>
      <vt:lpstr>'Tabell 15'!Utskriftsområde</vt:lpstr>
      <vt:lpstr>'Tabell 16'!Utskriftsområde</vt:lpstr>
      <vt:lpstr>'Tabell 17'!Utskriftsområde</vt:lpstr>
      <vt:lpstr>'Tabell 18'!Utskriftsområde</vt:lpstr>
      <vt:lpstr>'Tabell 2'!Utskriftsområde</vt:lpstr>
      <vt:lpstr>'Tabell 20'!Utskriftsområde</vt:lpstr>
      <vt:lpstr>'Tabell 2b'!Utskriftsområde</vt:lpstr>
      <vt:lpstr>'Tabell 8'!Utskriftsområde</vt:lpstr>
      <vt:lpstr>Tabelloversikt!Utskriftsområde</vt:lpstr>
    </vt:vector>
  </TitlesOfParts>
  <Company>NIFU 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Slipersæter</dc:creator>
  <cp:lastModifiedBy>Asbjørn Mo</cp:lastModifiedBy>
  <cp:lastPrinted>2023-06-12T08:04:05Z</cp:lastPrinted>
  <dcterms:created xsi:type="dcterms:W3CDTF">2005-04-12T11:18:51Z</dcterms:created>
  <dcterms:modified xsi:type="dcterms:W3CDTF">2024-06-25T13:29:48Z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1b3e3d-01ff-44be-8e41-bb9a1b879f55_Enabled">
    <vt:lpwstr>true</vt:lpwstr>
  </property>
  <property fmtid="{D5CDD505-2E9C-101B-9397-08002B2CF9AE}" pid="3" name="MSIP_Label_111b3e3d-01ff-44be-8e41-bb9a1b879f55_SetDate">
    <vt:lpwstr>2024-06-25T10:55:56Z</vt:lpwstr>
  </property>
  <property fmtid="{D5CDD505-2E9C-101B-9397-08002B2CF9AE}" pid="4" name="MSIP_Label_111b3e3d-01ff-44be-8e41-bb9a1b879f55_Method">
    <vt:lpwstr>Privileged</vt:lpwstr>
  </property>
  <property fmtid="{D5CDD505-2E9C-101B-9397-08002B2CF9AE}" pid="5" name="MSIP_Label_111b3e3d-01ff-44be-8e41-bb9a1b879f55_Name">
    <vt:lpwstr>111b3e3d-01ff-44be-8e41-bb9a1b879f55</vt:lpwstr>
  </property>
  <property fmtid="{D5CDD505-2E9C-101B-9397-08002B2CF9AE}" pid="6" name="MSIP_Label_111b3e3d-01ff-44be-8e41-bb9a1b879f55_SiteId">
    <vt:lpwstr>a9b13882-99a6-4b28-9368-b64c69bf0256</vt:lpwstr>
  </property>
  <property fmtid="{D5CDD505-2E9C-101B-9397-08002B2CF9AE}" pid="7" name="MSIP_Label_111b3e3d-01ff-44be-8e41-bb9a1b879f55_ActionId">
    <vt:lpwstr>7dccdd39-f884-4d24-9e65-175095009a0f</vt:lpwstr>
  </property>
  <property fmtid="{D5CDD505-2E9C-101B-9397-08002B2CF9AE}" pid="8" name="MSIP_Label_111b3e3d-01ff-44be-8e41-bb9a1b879f55_ContentBits">
    <vt:lpwstr>0</vt:lpwstr>
  </property>
  <property fmtid="{D5CDD505-2E9C-101B-9397-08002B2CF9AE}" pid="9" name="ContentTypeId">
    <vt:lpwstr>0x010100E1BBE6C65191E1458240379398CB7E2B</vt:lpwstr>
  </property>
</Properties>
</file>